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Šios_darbaknygės"/>
  <bookViews>
    <workbookView xWindow="1920" yWindow="1920" windowWidth="17280" windowHeight="8964" firstSheet="3" activeTab="5"/>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s>
  <definedNames>
    <definedName name="Meniu_ParamosIšmokėjimoBūdai">ParamosIšmokėjimoBūdai[Meniu_Būdas]</definedName>
    <definedName name="Meniu_TaipNe">TaipNe[Taip ar Ne]</definedName>
    <definedName name="_xlnm.Print_Area" localSheetId="6">'1'!$A$1:$E$33</definedName>
    <definedName name="_xlnm.Print_Area" localSheetId="16">'10'!$A$1:$L$8</definedName>
    <definedName name="_xlnm.Print_Area" localSheetId="7">'2-3'!$A$1:$K$29</definedName>
    <definedName name="_xlnm.Print_Area" localSheetId="8">'4'!$A$1:$H$86</definedName>
    <definedName name="_xlnm.Print_Area" localSheetId="9">'5'!$A$1:$F$89</definedName>
    <definedName name="_xlnm.Print_Area" localSheetId="10">'6'!$A$1:$H$69</definedName>
    <definedName name="_xlnm.Print_Area" localSheetId="11">'7'!$A$1:$G$32</definedName>
    <definedName name="_xlnm.Print_Area" localSheetId="12">'8'!$A$1:$L$35</definedName>
    <definedName name="_xlnm.Print_Area" localSheetId="13">'9.1'!$A$1:$H$66</definedName>
    <definedName name="_xlnm.Print_Area" localSheetId="14">'9.2'!$A$1:$H$27</definedName>
    <definedName name="_xlnm.Print_Area" localSheetId="15">'9.3'!$A$1:$H$64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 i="25" l="1"/>
  <c r="K13" i="25"/>
  <c r="A9" i="29"/>
  <c r="B86" i="24"/>
  <c r="B85" i="24"/>
  <c r="B87" i="24"/>
  <c r="D62" i="10"/>
  <c r="C6" i="7"/>
  <c r="C32" i="7"/>
  <c r="D29" i="7"/>
  <c r="E29" i="7"/>
  <c r="F29" i="7"/>
  <c r="G29" i="7"/>
  <c r="C29" i="7"/>
  <c r="D21" i="7"/>
  <c r="E21" i="7"/>
  <c r="F21" i="7"/>
  <c r="G21" i="7"/>
  <c r="C21" i="7"/>
  <c r="E32" i="7"/>
  <c r="F32" i="7"/>
  <c r="G32" i="7"/>
  <c r="A32" i="7"/>
  <c r="B32" i="7"/>
  <c r="D32" i="7"/>
  <c r="D31" i="7"/>
  <c r="E31" i="7"/>
  <c r="F31" i="7"/>
  <c r="G31" i="7"/>
  <c r="C31" i="7"/>
  <c r="A8" i="29"/>
  <c r="A7" i="29" l="1"/>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D4" i="16" l="1"/>
  <c r="E4" i="16" s="1"/>
  <c r="F10" i="25"/>
  <c r="G10" i="25" s="1"/>
  <c r="F4" i="7"/>
  <c r="G4" i="7" s="1"/>
  <c r="E5" i="6"/>
  <c r="E4" i="10"/>
  <c r="E29" i="12"/>
  <c r="E15" i="12"/>
  <c r="E6" i="15"/>
  <c r="E6" i="14"/>
  <c r="G6" i="13"/>
  <c r="B15" i="11"/>
  <c r="B14" i="11"/>
  <c r="B13" i="11"/>
  <c r="G18" i="23"/>
  <c r="G11" i="23"/>
  <c r="D84" i="6"/>
  <c r="D78" i="6"/>
  <c r="D72" i="6"/>
  <c r="D66" i="6"/>
  <c r="D60" i="6"/>
  <c r="D54" i="6"/>
  <c r="D48" i="6"/>
  <c r="D42" i="6"/>
  <c r="D35" i="6"/>
  <c r="D28" i="6"/>
  <c r="D21" i="6"/>
  <c r="D14" i="6"/>
  <c r="M8" i="16"/>
  <c r="M5" i="16"/>
  <c r="D59" i="13"/>
  <c r="D38" i="15"/>
  <c r="D53" i="13"/>
  <c r="E58" i="13"/>
  <c r="F58" i="13"/>
  <c r="G58" i="13"/>
  <c r="H58" i="13"/>
  <c r="D58" i="13"/>
  <c r="C26" i="11"/>
  <c r="A9" i="23"/>
  <c r="B14" i="2"/>
  <c r="B15" i="2"/>
  <c r="B16" i="2"/>
  <c r="B17" i="2"/>
  <c r="B13" i="2"/>
  <c r="B12" i="2"/>
  <c r="B5" i="2"/>
  <c r="B6" i="2"/>
  <c r="B7" i="2"/>
  <c r="B8" i="2"/>
  <c r="B9" i="2"/>
  <c r="B10" i="2"/>
  <c r="B11" i="2"/>
  <c r="C83" i="11"/>
  <c r="C69" i="11"/>
  <c r="C55" i="11"/>
  <c r="C27" i="11"/>
  <c r="C41" i="11"/>
  <c r="C40" i="11"/>
  <c r="C54" i="11"/>
  <c r="C68" i="11"/>
  <c r="C82" i="11"/>
  <c r="H76" i="11"/>
  <c r="H10" i="25" l="1"/>
  <c r="I10" i="25" s="1"/>
  <c r="F5" i="6"/>
  <c r="G5" i="6" s="1"/>
  <c r="F4" i="10"/>
  <c r="F29" i="12"/>
  <c r="F15" i="12"/>
  <c r="G15" i="12" s="1"/>
  <c r="F4" i="16"/>
  <c r="G4" i="16" s="1"/>
  <c r="F6" i="15"/>
  <c r="F6" i="14"/>
  <c r="H6" i="13"/>
  <c r="E27" i="15"/>
  <c r="F27" i="15"/>
  <c r="G27" i="15"/>
  <c r="H27" i="15"/>
  <c r="E23" i="15"/>
  <c r="F15" i="15"/>
  <c r="G15" i="15"/>
  <c r="H15" i="15"/>
  <c r="E15" i="15"/>
  <c r="E39" i="15"/>
  <c r="F39" i="15"/>
  <c r="G39" i="15"/>
  <c r="H39" i="15"/>
  <c r="D39" i="15"/>
  <c r="E38" i="15"/>
  <c r="F38" i="15"/>
  <c r="G38" i="15"/>
  <c r="H38" i="15"/>
  <c r="D37" i="15"/>
  <c r="F37" i="15"/>
  <c r="G37" i="15"/>
  <c r="H37" i="15"/>
  <c r="E37" i="15"/>
  <c r="D10" i="15"/>
  <c r="E10" i="15"/>
  <c r="F10" i="15"/>
  <c r="G10" i="15"/>
  <c r="H10" i="15"/>
  <c r="E21" i="14"/>
  <c r="E11" i="15" s="1"/>
  <c r="F21" i="14"/>
  <c r="F11" i="15" s="1"/>
  <c r="G21" i="14"/>
  <c r="G11" i="15" s="1"/>
  <c r="H21" i="14"/>
  <c r="H11" i="15" s="1"/>
  <c r="D21" i="14"/>
  <c r="D11" i="15" s="1"/>
  <c r="H5" i="6" l="1"/>
  <c r="G4" i="10"/>
  <c r="G29" i="12"/>
  <c r="H15" i="12"/>
  <c r="H4" i="16"/>
  <c r="I4" i="16" s="1"/>
  <c r="G6" i="15"/>
  <c r="G6" i="14"/>
  <c r="C13" i="6"/>
  <c r="H4" i="10" l="1"/>
  <c r="H29" i="12"/>
  <c r="J4" i="16"/>
  <c r="H6" i="15"/>
  <c r="H6" i="14"/>
  <c r="E79" i="6"/>
  <c r="E73" i="6"/>
  <c r="M86" i="6"/>
  <c r="M85" i="6"/>
  <c r="M84" i="6"/>
  <c r="M83" i="6"/>
  <c r="N82" i="6"/>
  <c r="N83" i="6" s="1"/>
  <c r="M82" i="6"/>
  <c r="N81" i="6"/>
  <c r="M81" i="6"/>
  <c r="M80" i="6"/>
  <c r="M79" i="6"/>
  <c r="M78" i="6"/>
  <c r="M77" i="6"/>
  <c r="N76" i="6"/>
  <c r="M76" i="6"/>
  <c r="N75" i="6"/>
  <c r="M75" i="6"/>
  <c r="M74" i="6"/>
  <c r="M73" i="6"/>
  <c r="M72" i="6"/>
  <c r="M71" i="6"/>
  <c r="N70" i="6"/>
  <c r="N71" i="6" s="1"/>
  <c r="M70" i="6"/>
  <c r="N69" i="6"/>
  <c r="M69" i="6"/>
  <c r="M68" i="6"/>
  <c r="M67" i="6"/>
  <c r="M66" i="6"/>
  <c r="M65" i="6"/>
  <c r="N64" i="6"/>
  <c r="M64" i="6"/>
  <c r="N63" i="6"/>
  <c r="M63" i="6"/>
  <c r="M62" i="6"/>
  <c r="M61" i="6"/>
  <c r="M60" i="6"/>
  <c r="M59" i="6"/>
  <c r="N58" i="6"/>
  <c r="M58" i="6"/>
  <c r="N57" i="6"/>
  <c r="M57" i="6"/>
  <c r="M56" i="6"/>
  <c r="M55" i="6"/>
  <c r="M54" i="6"/>
  <c r="M53" i="6"/>
  <c r="N52" i="6"/>
  <c r="N53" i="6" s="1"/>
  <c r="M52" i="6"/>
  <c r="N51" i="6"/>
  <c r="M51" i="6"/>
  <c r="C48" i="6"/>
  <c r="C54" i="6"/>
  <c r="C60" i="6"/>
  <c r="C66" i="6"/>
  <c r="C78" i="6"/>
  <c r="C84" i="6"/>
  <c r="M50" i="6"/>
  <c r="M49" i="6"/>
  <c r="M48" i="6"/>
  <c r="M47" i="6"/>
  <c r="N46" i="6"/>
  <c r="N47" i="6" s="1"/>
  <c r="N48" i="6" s="1"/>
  <c r="M46" i="6"/>
  <c r="N45" i="6"/>
  <c r="M45" i="6"/>
  <c r="M44" i="6"/>
  <c r="M43" i="6"/>
  <c r="M42" i="6"/>
  <c r="M41" i="6"/>
  <c r="M40" i="6"/>
  <c r="N39" i="6"/>
  <c r="N40" i="6" s="1"/>
  <c r="M39" i="6"/>
  <c r="N38" i="6"/>
  <c r="M38" i="6"/>
  <c r="M37" i="6"/>
  <c r="M36" i="6"/>
  <c r="M35" i="6"/>
  <c r="M34" i="6"/>
  <c r="M33" i="6"/>
  <c r="N32" i="6"/>
  <c r="N33" i="6" s="1"/>
  <c r="N34" i="6" s="1"/>
  <c r="M32" i="6"/>
  <c r="N31" i="6"/>
  <c r="M31" i="6"/>
  <c r="M30" i="6"/>
  <c r="M29" i="6"/>
  <c r="M28" i="6"/>
  <c r="M27" i="6"/>
  <c r="M26" i="6"/>
  <c r="N25" i="6"/>
  <c r="N26" i="6" s="1"/>
  <c r="N27" i="6" s="1"/>
  <c r="M25" i="6"/>
  <c r="N24" i="6"/>
  <c r="M24" i="6"/>
  <c r="M23" i="6"/>
  <c r="M22" i="6"/>
  <c r="M21" i="6"/>
  <c r="M20" i="6"/>
  <c r="M19" i="6"/>
  <c r="N18" i="6"/>
  <c r="N19" i="6" s="1"/>
  <c r="N20" i="6" s="1"/>
  <c r="M18" i="6"/>
  <c r="N17" i="6"/>
  <c r="M17" i="6"/>
  <c r="C41" i="6"/>
  <c r="C42" i="6" s="1"/>
  <c r="C34" i="6"/>
  <c r="C35" i="6" s="1"/>
  <c r="C27" i="6"/>
  <c r="C28" i="6" s="1"/>
  <c r="C20" i="6"/>
  <c r="C21" i="6" s="1"/>
  <c r="L6" i="6"/>
  <c r="N7" i="6"/>
  <c r="N8" i="6" s="1"/>
  <c r="N9" i="6" s="1"/>
  <c r="N10" i="6"/>
  <c r="N11" i="6"/>
  <c r="N12" i="6" s="1"/>
  <c r="N13" i="6" s="1"/>
  <c r="N14" i="6" s="1"/>
  <c r="N15" i="6" s="1"/>
  <c r="N16" i="6" s="1"/>
  <c r="N6" i="6"/>
  <c r="M7" i="6"/>
  <c r="M8" i="6"/>
  <c r="M9" i="6"/>
  <c r="M10" i="6"/>
  <c r="M11" i="6"/>
  <c r="M12" i="6"/>
  <c r="M13" i="6"/>
  <c r="M14" i="6"/>
  <c r="M15" i="6"/>
  <c r="M16" i="6"/>
  <c r="M6" i="6"/>
  <c r="C72" i="6"/>
  <c r="L7" i="6" l="1"/>
  <c r="P6" i="6"/>
  <c r="E49" i="6"/>
  <c r="F15" i="6"/>
  <c r="E85" i="6"/>
  <c r="E67" i="6"/>
  <c r="E61" i="6"/>
  <c r="E55" i="6"/>
  <c r="E43" i="6"/>
  <c r="E36" i="6"/>
  <c r="E29" i="6"/>
  <c r="F22" i="6"/>
  <c r="E22" i="6"/>
  <c r="N84" i="6"/>
  <c r="N77" i="6"/>
  <c r="N72" i="6"/>
  <c r="N65" i="6"/>
  <c r="N59" i="6"/>
  <c r="N54" i="6"/>
  <c r="N49" i="6"/>
  <c r="N41" i="6"/>
  <c r="N35" i="6"/>
  <c r="N28" i="6"/>
  <c r="N21" i="6"/>
  <c r="A6" i="6"/>
  <c r="C14" i="11"/>
  <c r="I27" i="11"/>
  <c r="I83" i="11"/>
  <c r="I69" i="11"/>
  <c r="I55" i="11"/>
  <c r="H15" i="11"/>
  <c r="H12" i="11"/>
  <c r="L8" i="6" l="1"/>
  <c r="P7" i="6"/>
  <c r="F27" i="11"/>
  <c r="J32" i="11" s="1"/>
  <c r="E58" i="15"/>
  <c r="G22" i="6"/>
  <c r="F79" i="6"/>
  <c r="F49" i="6"/>
  <c r="G15" i="6"/>
  <c r="I41" i="11"/>
  <c r="F85" i="6"/>
  <c r="F73" i="6"/>
  <c r="F67" i="6"/>
  <c r="F61" i="6"/>
  <c r="F55" i="6"/>
  <c r="F43" i="6"/>
  <c r="F36" i="6"/>
  <c r="F29" i="6"/>
  <c r="N85" i="6"/>
  <c r="N78" i="6"/>
  <c r="N73" i="6"/>
  <c r="N66" i="6"/>
  <c r="N60" i="6"/>
  <c r="N55" i="6"/>
  <c r="N50" i="6"/>
  <c r="N42" i="6"/>
  <c r="N36" i="6"/>
  <c r="N29" i="6"/>
  <c r="N22" i="6"/>
  <c r="H22" i="6"/>
  <c r="A7" i="6"/>
  <c r="H13" i="11"/>
  <c r="E13" i="25"/>
  <c r="E6" i="7" s="1"/>
  <c r="F13" i="25"/>
  <c r="F6" i="7" s="1"/>
  <c r="G13" i="25"/>
  <c r="G6" i="7" s="1"/>
  <c r="H13" i="25"/>
  <c r="I13" i="25"/>
  <c r="D13" i="25"/>
  <c r="D6" i="7" s="1"/>
  <c r="C12" i="25"/>
  <c r="L9" i="6" l="1"/>
  <c r="P8" i="6"/>
  <c r="G79" i="6"/>
  <c r="G49" i="6"/>
  <c r="H15" i="6"/>
  <c r="F41" i="11"/>
  <c r="H32" i="11"/>
  <c r="G85" i="6"/>
  <c r="G73" i="6"/>
  <c r="G67" i="6"/>
  <c r="G61" i="6"/>
  <c r="G55" i="6"/>
  <c r="G43" i="6"/>
  <c r="G36" i="6"/>
  <c r="G29" i="6"/>
  <c r="N86" i="6"/>
  <c r="N79" i="6"/>
  <c r="N74" i="6"/>
  <c r="N67" i="6"/>
  <c r="N61" i="6"/>
  <c r="N56" i="6"/>
  <c r="N43" i="6"/>
  <c r="N37" i="6"/>
  <c r="N30" i="6"/>
  <c r="N23" i="6"/>
  <c r="A8" i="6"/>
  <c r="L5" i="12"/>
  <c r="M6" i="16"/>
  <c r="M7" i="16"/>
  <c r="L10" i="6" l="1"/>
  <c r="P9" i="6"/>
  <c r="J46" i="11"/>
  <c r="H46" i="11" s="1"/>
  <c r="H79" i="6"/>
  <c r="H49" i="6"/>
  <c r="F55" i="11"/>
  <c r="H85" i="6"/>
  <c r="H73" i="6"/>
  <c r="H67" i="6"/>
  <c r="H61" i="6"/>
  <c r="H55" i="6"/>
  <c r="H43" i="6"/>
  <c r="H36" i="6"/>
  <c r="H29" i="6"/>
  <c r="N80" i="6"/>
  <c r="N68" i="6"/>
  <c r="N62" i="6"/>
  <c r="N44" i="6"/>
  <c r="A9" i="6"/>
  <c r="E17" i="12"/>
  <c r="D61" i="10"/>
  <c r="D24" i="10"/>
  <c r="L11" i="6" l="1"/>
  <c r="A10" i="6"/>
  <c r="P10" i="6"/>
  <c r="J60" i="11"/>
  <c r="H60" i="11" s="1"/>
  <c r="E53" i="13"/>
  <c r="F69" i="11"/>
  <c r="F83" i="11" s="1"/>
  <c r="F58" i="15"/>
  <c r="L12" i="6" l="1"/>
  <c r="P11" i="6"/>
  <c r="A11" i="6"/>
  <c r="J74" i="11"/>
  <c r="H74" i="11" s="1"/>
  <c r="J88" i="11"/>
  <c r="H88" i="11" s="1"/>
  <c r="F19" i="11"/>
  <c r="D11" i="11" s="1"/>
  <c r="G58" i="15"/>
  <c r="E26" i="11"/>
  <c r="H55" i="15"/>
  <c r="G55" i="15"/>
  <c r="F55" i="15"/>
  <c r="E55" i="15"/>
  <c r="D55" i="15"/>
  <c r="H54" i="15"/>
  <c r="G54" i="15"/>
  <c r="F54" i="15"/>
  <c r="E54" i="15"/>
  <c r="D54" i="15"/>
  <c r="H52" i="15"/>
  <c r="G52" i="15"/>
  <c r="F52" i="15"/>
  <c r="E52" i="15"/>
  <c r="D52" i="15"/>
  <c r="H49" i="15"/>
  <c r="H48" i="15" s="1"/>
  <c r="G49" i="15"/>
  <c r="F49" i="15"/>
  <c r="F48" i="15" s="1"/>
  <c r="E49" i="15"/>
  <c r="E48" i="15" s="1"/>
  <c r="D49" i="15"/>
  <c r="D48" i="15" s="1"/>
  <c r="H28" i="15"/>
  <c r="G28" i="15"/>
  <c r="F28" i="15"/>
  <c r="E28" i="15"/>
  <c r="H26" i="15"/>
  <c r="G26" i="15"/>
  <c r="F26" i="15"/>
  <c r="E26" i="15"/>
  <c r="H25" i="15"/>
  <c r="G25" i="15"/>
  <c r="F25" i="15"/>
  <c r="E25" i="15"/>
  <c r="H24" i="15"/>
  <c r="G24" i="15"/>
  <c r="F24" i="15"/>
  <c r="E24" i="15"/>
  <c r="H23" i="15"/>
  <c r="G23" i="15"/>
  <c r="F23" i="15"/>
  <c r="H21" i="15"/>
  <c r="G21" i="15"/>
  <c r="F21" i="15"/>
  <c r="E21" i="15"/>
  <c r="H19" i="15"/>
  <c r="G19" i="15"/>
  <c r="F19" i="15"/>
  <c r="E19" i="15"/>
  <c r="H18" i="15"/>
  <c r="G18" i="15"/>
  <c r="F18" i="15"/>
  <c r="E18" i="15"/>
  <c r="H17" i="15"/>
  <c r="G17" i="15"/>
  <c r="F17" i="15"/>
  <c r="E17" i="15"/>
  <c r="D57" i="13"/>
  <c r="D33" i="12"/>
  <c r="E18" i="12"/>
  <c r="F17" i="12"/>
  <c r="D16" i="12"/>
  <c r="L11" i="12"/>
  <c r="E89" i="11"/>
  <c r="E82" i="11"/>
  <c r="D82" i="11"/>
  <c r="E75" i="11"/>
  <c r="E68" i="11"/>
  <c r="E19" i="11" s="1"/>
  <c r="C10" i="11" s="1"/>
  <c r="D68" i="11"/>
  <c r="E61" i="11"/>
  <c r="E54" i="11"/>
  <c r="D54" i="11"/>
  <c r="H48" i="11" s="1"/>
  <c r="E40" i="11"/>
  <c r="D40" i="11"/>
  <c r="H34" i="11" s="1"/>
  <c r="D26" i="11"/>
  <c r="H20" i="11" s="1"/>
  <c r="H67" i="10"/>
  <c r="G67" i="10"/>
  <c r="F67" i="10"/>
  <c r="E67" i="10"/>
  <c r="D67" i="10"/>
  <c r="F66" i="10"/>
  <c r="E12" i="7" s="1"/>
  <c r="E66" i="10"/>
  <c r="D12" i="7" s="1"/>
  <c r="D66" i="10"/>
  <c r="D65" i="10"/>
  <c r="H63" i="10"/>
  <c r="G63" i="10"/>
  <c r="F63" i="10"/>
  <c r="E63" i="10"/>
  <c r="D63" i="10"/>
  <c r="H62" i="10"/>
  <c r="G62" i="10"/>
  <c r="F62" i="10"/>
  <c r="E62" i="10"/>
  <c r="D31" i="15"/>
  <c r="D40" i="15" s="1"/>
  <c r="D58" i="10"/>
  <c r="E55" i="10" s="1"/>
  <c r="E58" i="10" s="1"/>
  <c r="F55" i="10" s="1"/>
  <c r="F58" i="10" s="1"/>
  <c r="G55" i="10" s="1"/>
  <c r="G58" i="10" s="1"/>
  <c r="H55" i="10" s="1"/>
  <c r="H58" i="10" s="1"/>
  <c r="D54" i="10"/>
  <c r="D48" i="10"/>
  <c r="E45" i="10" s="1"/>
  <c r="E48" i="10" s="1"/>
  <c r="F45" i="10" s="1"/>
  <c r="F48" i="10" s="1"/>
  <c r="G45" i="10" s="1"/>
  <c r="G48" i="10" s="1"/>
  <c r="H45" i="10" s="1"/>
  <c r="H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D18" i="10"/>
  <c r="D14" i="10"/>
  <c r="D9" i="10"/>
  <c r="G48" i="15"/>
  <c r="H42" i="15"/>
  <c r="G42" i="15"/>
  <c r="F42" i="15"/>
  <c r="E42" i="15"/>
  <c r="D42" i="15"/>
  <c r="H28" i="13"/>
  <c r="G28" i="13"/>
  <c r="F28" i="13"/>
  <c r="E28" i="13"/>
  <c r="D28" i="13"/>
  <c r="H21" i="13"/>
  <c r="G21" i="13"/>
  <c r="F21" i="13"/>
  <c r="E21" i="13"/>
  <c r="D21" i="13"/>
  <c r="G9" i="6"/>
  <c r="F9" i="6"/>
  <c r="E9" i="6"/>
  <c r="D9" i="6"/>
  <c r="E15" i="6"/>
  <c r="C14" i="6"/>
  <c r="D23" i="12" l="1"/>
  <c r="E16" i="12" s="1"/>
  <c r="E23" i="12" s="1"/>
  <c r="F16" i="12" s="1"/>
  <c r="F23" i="12" s="1"/>
  <c r="G16" i="12" s="1"/>
  <c r="G23" i="12" s="1"/>
  <c r="H16" i="12" s="1"/>
  <c r="H23" i="12" s="1"/>
  <c r="E6" i="10"/>
  <c r="E9" i="10" s="1"/>
  <c r="E11" i="13" s="1"/>
  <c r="D11" i="13"/>
  <c r="D59" i="10"/>
  <c r="D9" i="13" s="1"/>
  <c r="L13" i="6"/>
  <c r="P12" i="6"/>
  <c r="A12" i="6"/>
  <c r="E15" i="14"/>
  <c r="F15" i="14"/>
  <c r="G15" i="14"/>
  <c r="D15" i="14"/>
  <c r="N11" i="12"/>
  <c r="E59" i="13"/>
  <c r="E57" i="13" s="1"/>
  <c r="D10" i="14"/>
  <c r="E10" i="14"/>
  <c r="F10" i="14"/>
  <c r="G10" i="14"/>
  <c r="G16" i="14"/>
  <c r="H16" i="14"/>
  <c r="F16" i="14"/>
  <c r="E16" i="14"/>
  <c r="E16" i="15"/>
  <c r="G17" i="12"/>
  <c r="F53" i="13"/>
  <c r="F18" i="12"/>
  <c r="H62" i="11"/>
  <c r="D19" i="11"/>
  <c r="D14" i="7"/>
  <c r="E31" i="15"/>
  <c r="E40" i="15" s="1"/>
  <c r="E30" i="12"/>
  <c r="E33" i="12" s="1"/>
  <c r="D52" i="13"/>
  <c r="F51" i="15"/>
  <c r="E22" i="15"/>
  <c r="F20" i="15"/>
  <c r="G16" i="15"/>
  <c r="E20" i="15"/>
  <c r="G22" i="15"/>
  <c r="E51" i="15"/>
  <c r="H51" i="15"/>
  <c r="G51" i="15"/>
  <c r="C12" i="7"/>
  <c r="C14" i="7" s="1"/>
  <c r="H15" i="14"/>
  <c r="F7" i="6"/>
  <c r="E7" i="6"/>
  <c r="H9" i="6"/>
  <c r="H7" i="6"/>
  <c r="G7" i="6"/>
  <c r="F22" i="15"/>
  <c r="G20" i="15"/>
  <c r="E51" i="10"/>
  <c r="E54" i="10" s="1"/>
  <c r="F6" i="10"/>
  <c r="F9" i="10" s="1"/>
  <c r="F11" i="13" s="1"/>
  <c r="D68" i="10"/>
  <c r="E15" i="10"/>
  <c r="D29" i="10"/>
  <c r="D13" i="13" s="1"/>
  <c r="D64" i="10"/>
  <c r="E11" i="10"/>
  <c r="E29" i="10"/>
  <c r="D39" i="10"/>
  <c r="D14" i="13" s="1"/>
  <c r="C8" i="11"/>
  <c r="G28" i="10"/>
  <c r="H25" i="10" s="1"/>
  <c r="H28" i="10" s="1"/>
  <c r="G66" i="10"/>
  <c r="F12" i="7" s="1"/>
  <c r="H66" i="10"/>
  <c r="G12" i="7" s="1"/>
  <c r="D16" i="14"/>
  <c r="D8" i="6"/>
  <c r="E8" i="6"/>
  <c r="F8" i="6"/>
  <c r="G8" i="6"/>
  <c r="D7" i="6"/>
  <c r="H8" i="6"/>
  <c r="D51" i="15"/>
  <c r="D47" i="15" s="1"/>
  <c r="D60" i="15" s="1"/>
  <c r="H58" i="15"/>
  <c r="H22" i="15"/>
  <c r="H20" i="15"/>
  <c r="F16" i="15"/>
  <c r="H16" i="15"/>
  <c r="F31" i="15"/>
  <c r="F40" i="15" s="1"/>
  <c r="G31" i="15"/>
  <c r="G40" i="15" s="1"/>
  <c r="H31" i="15"/>
  <c r="H40" i="15" s="1"/>
  <c r="E9" i="15"/>
  <c r="F9" i="15"/>
  <c r="E14" i="7"/>
  <c r="F29" i="10"/>
  <c r="G21" i="10"/>
  <c r="G24" i="10" s="1"/>
  <c r="E39" i="10"/>
  <c r="E14" i="13" s="1"/>
  <c r="F35" i="10"/>
  <c r="F38" i="10" s="1"/>
  <c r="G35" i="10" s="1"/>
  <c r="G38" i="10" s="1"/>
  <c r="H35" i="10" s="1"/>
  <c r="H38" i="10" s="1"/>
  <c r="E59" i="10"/>
  <c r="E9" i="13" s="1"/>
  <c r="F51" i="10"/>
  <c r="F54" i="10" s="1"/>
  <c r="E49" i="10"/>
  <c r="E15" i="13" s="1"/>
  <c r="F41" i="10"/>
  <c r="F44" i="10" s="1"/>
  <c r="G31" i="10"/>
  <c r="G34" i="10" s="1"/>
  <c r="D19" i="10"/>
  <c r="D49" i="10"/>
  <c r="D15" i="13" s="1"/>
  <c r="L14" i="6" l="1"/>
  <c r="A13" i="6"/>
  <c r="P13" i="6"/>
  <c r="D51" i="13"/>
  <c r="D50" i="13" s="1"/>
  <c r="E52" i="13"/>
  <c r="E51" i="13" s="1"/>
  <c r="E50" i="13" s="1"/>
  <c r="F30" i="12"/>
  <c r="F33" i="12" s="1"/>
  <c r="E13" i="13"/>
  <c r="F13" i="13"/>
  <c r="H8" i="14"/>
  <c r="F8" i="14"/>
  <c r="E8" i="14"/>
  <c r="F9" i="14"/>
  <c r="E9" i="14"/>
  <c r="H9" i="14"/>
  <c r="G9" i="14"/>
  <c r="D9" i="14"/>
  <c r="G8" i="14"/>
  <c r="H10" i="14"/>
  <c r="E12" i="14"/>
  <c r="F12" i="14"/>
  <c r="D69" i="10"/>
  <c r="G18" i="12"/>
  <c r="F59" i="13"/>
  <c r="F57" i="13" s="1"/>
  <c r="H17" i="12"/>
  <c r="G53" i="13"/>
  <c r="F14" i="7"/>
  <c r="G14" i="7"/>
  <c r="D9" i="15"/>
  <c r="D6" i="6"/>
  <c r="C24" i="23" s="1" a="1"/>
  <c r="C24" i="23" s="1"/>
  <c r="E61" i="10"/>
  <c r="E14" i="10"/>
  <c r="G6" i="10"/>
  <c r="G9" i="10" s="1"/>
  <c r="G11" i="13" s="1"/>
  <c r="D12" i="13"/>
  <c r="D10" i="13" s="1"/>
  <c r="D8" i="13" s="1"/>
  <c r="C6" i="11"/>
  <c r="E47" i="11"/>
  <c r="H9" i="15"/>
  <c r="G9" i="15"/>
  <c r="D8" i="14"/>
  <c r="G6" i="6"/>
  <c r="F6" i="6"/>
  <c r="E6" i="6"/>
  <c r="H6" i="6"/>
  <c r="F49" i="10"/>
  <c r="F15" i="13" s="1"/>
  <c r="G41" i="10"/>
  <c r="G44" i="10" s="1"/>
  <c r="G51" i="10"/>
  <c r="G54" i="10" s="1"/>
  <c r="F59" i="10"/>
  <c r="F9" i="13" s="1"/>
  <c r="G39" i="10"/>
  <c r="G14" i="13" s="1"/>
  <c r="H31" i="10"/>
  <c r="H34" i="10" s="1"/>
  <c r="F39" i="10"/>
  <c r="F14" i="13" s="1"/>
  <c r="H21" i="10"/>
  <c r="H24" i="10" s="1"/>
  <c r="G29" i="10"/>
  <c r="E65" i="10"/>
  <c r="E18" i="10"/>
  <c r="L15" i="6" l="1"/>
  <c r="A14" i="6"/>
  <c r="P14" i="6"/>
  <c r="D12" i="14"/>
  <c r="D7" i="14"/>
  <c r="F7" i="14"/>
  <c r="F14" i="14" s="1"/>
  <c r="F17" i="14" s="1"/>
  <c r="F22" i="14" s="1"/>
  <c r="F52" i="13"/>
  <c r="F51" i="13" s="1"/>
  <c r="F50" i="13" s="1"/>
  <c r="G30" i="12"/>
  <c r="G33" i="12" s="1"/>
  <c r="G13" i="13"/>
  <c r="H7" i="14"/>
  <c r="H12" i="14"/>
  <c r="G12" i="14"/>
  <c r="H53" i="13"/>
  <c r="H18" i="12"/>
  <c r="G59" i="13"/>
  <c r="G57" i="13" s="1"/>
  <c r="H6" i="10"/>
  <c r="H9" i="10" s="1"/>
  <c r="H11" i="13" s="1"/>
  <c r="F11" i="10"/>
  <c r="E64" i="10"/>
  <c r="H39" i="10"/>
  <c r="H14" i="13" s="1"/>
  <c r="H29" i="10"/>
  <c r="E68" i="10"/>
  <c r="F15" i="10"/>
  <c r="E19" i="10"/>
  <c r="H51" i="10"/>
  <c r="H54" i="10" s="1"/>
  <c r="G59" i="10"/>
  <c r="G9" i="13" s="1"/>
  <c r="G49" i="10"/>
  <c r="G15" i="13" s="1"/>
  <c r="H41" i="10"/>
  <c r="H44" i="10" s="1"/>
  <c r="L16" i="6" l="1"/>
  <c r="A15" i="6"/>
  <c r="P15" i="6"/>
  <c r="H14" i="14"/>
  <c r="H17" i="14" s="1"/>
  <c r="H22" i="14" s="1"/>
  <c r="H23" i="14" s="1"/>
  <c r="H24" i="14" s="1"/>
  <c r="G52" i="13"/>
  <c r="G51" i="13" s="1"/>
  <c r="G50" i="13" s="1"/>
  <c r="H30" i="12"/>
  <c r="H33" i="12" s="1"/>
  <c r="H13" i="13"/>
  <c r="E69" i="10"/>
  <c r="H59" i="13"/>
  <c r="H57" i="13" s="1"/>
  <c r="F23" i="14"/>
  <c r="F24" i="14" s="1"/>
  <c r="F14" i="10"/>
  <c r="F61" i="10"/>
  <c r="E12" i="13"/>
  <c r="E10" i="13" s="1"/>
  <c r="E8" i="13" s="1"/>
  <c r="H59" i="10"/>
  <c r="H9" i="13" s="1"/>
  <c r="H49" i="10"/>
  <c r="H15" i="13" s="1"/>
  <c r="F65" i="10"/>
  <c r="F18" i="10"/>
  <c r="L17" i="6" l="1"/>
  <c r="P16" i="6"/>
  <c r="A16" i="6"/>
  <c r="H52" i="13"/>
  <c r="H51" i="13" s="1"/>
  <c r="H50" i="13" s="1"/>
  <c r="H7" i="16"/>
  <c r="F7" i="16"/>
  <c r="H8" i="15"/>
  <c r="H29" i="15" s="1"/>
  <c r="H46" i="13"/>
  <c r="F8" i="15"/>
  <c r="F29" i="15" s="1"/>
  <c r="F46" i="13"/>
  <c r="F64" i="10"/>
  <c r="G11" i="10"/>
  <c r="G15" i="10"/>
  <c r="F68" i="10"/>
  <c r="F19" i="10"/>
  <c r="L18" i="6" l="1"/>
  <c r="P17" i="6"/>
  <c r="A17" i="6"/>
  <c r="G61" i="10"/>
  <c r="G14" i="10"/>
  <c r="F69" i="10"/>
  <c r="F12" i="13"/>
  <c r="F10" i="13" s="1"/>
  <c r="F8" i="13" s="1"/>
  <c r="G47" i="15"/>
  <c r="G60" i="15" s="1"/>
  <c r="G65" i="10"/>
  <c r="G18" i="10"/>
  <c r="L19" i="6" l="1"/>
  <c r="P18" i="6"/>
  <c r="A18" i="6"/>
  <c r="J7" i="16"/>
  <c r="G64" i="10"/>
  <c r="H11" i="10"/>
  <c r="H47" i="15"/>
  <c r="H5" i="16"/>
  <c r="H15" i="10"/>
  <c r="G68" i="10"/>
  <c r="G19" i="10"/>
  <c r="L20" i="6" l="1"/>
  <c r="P19" i="6"/>
  <c r="A19" i="6"/>
  <c r="H60" i="15"/>
  <c r="H62" i="15" s="1"/>
  <c r="H14" i="10"/>
  <c r="H61" i="10"/>
  <c r="G69" i="10"/>
  <c r="G12" i="13"/>
  <c r="G10" i="13" s="1"/>
  <c r="G8" i="13" s="1"/>
  <c r="H65" i="10"/>
  <c r="H18" i="10"/>
  <c r="L21" i="6" l="1"/>
  <c r="P20" i="6"/>
  <c r="A20" i="6"/>
  <c r="H64" i="10"/>
  <c r="J5" i="16"/>
  <c r="H68" i="10"/>
  <c r="H19" i="10"/>
  <c r="L22" i="6" l="1"/>
  <c r="A21" i="6"/>
  <c r="P21" i="6"/>
  <c r="H69" i="10"/>
  <c r="H12" i="13"/>
  <c r="H10" i="13" s="1"/>
  <c r="H8" i="13" s="1"/>
  <c r="L23" i="6" l="1"/>
  <c r="A22" i="6"/>
  <c r="P22" i="6"/>
  <c r="L24" i="6" l="1"/>
  <c r="A23" i="6"/>
  <c r="P23" i="6"/>
  <c r="L25" i="6" l="1"/>
  <c r="P24" i="6"/>
  <c r="A24" i="6"/>
  <c r="P25" i="6" l="1"/>
  <c r="A25" i="6"/>
  <c r="L26" i="6"/>
  <c r="L27" i="6" l="1"/>
  <c r="P26" i="6"/>
  <c r="A26" i="6"/>
  <c r="L28" i="6" l="1"/>
  <c r="P27" i="6"/>
  <c r="A27" i="6"/>
  <c r="L29" i="6" l="1"/>
  <c r="P28" i="6"/>
  <c r="A28" i="6"/>
  <c r="L30" i="6" l="1"/>
  <c r="P29" i="6"/>
  <c r="A29" i="6"/>
  <c r="D14" i="14"/>
  <c r="L31" i="6" l="1"/>
  <c r="A30" i="6"/>
  <c r="P30" i="6"/>
  <c r="D17" i="14"/>
  <c r="D22" i="14" s="1"/>
  <c r="L32" i="6" l="1"/>
  <c r="A31" i="6"/>
  <c r="P31" i="6"/>
  <c r="D24" i="14"/>
  <c r="D46" i="13" s="1"/>
  <c r="D45" i="13" s="1"/>
  <c r="D26" i="14"/>
  <c r="A32" i="6" l="1"/>
  <c r="P32" i="6"/>
  <c r="L33" i="6"/>
  <c r="E47" i="13"/>
  <c r="D7" i="16"/>
  <c r="D8" i="15"/>
  <c r="D29" i="15" s="1"/>
  <c r="A33" i="6" l="1"/>
  <c r="P33" i="6"/>
  <c r="L34" i="6"/>
  <c r="D5" i="16"/>
  <c r="D62" i="15"/>
  <c r="D64" i="15" s="1"/>
  <c r="P34" i="6" l="1"/>
  <c r="A34" i="6"/>
  <c r="L35" i="6"/>
  <c r="P35" i="6" l="1"/>
  <c r="A35" i="6"/>
  <c r="L36" i="6"/>
  <c r="P36" i="6" l="1"/>
  <c r="A36" i="6"/>
  <c r="L37" i="6"/>
  <c r="A37" i="6" l="1"/>
  <c r="P37" i="6"/>
  <c r="L38" i="6"/>
  <c r="A38" i="6" l="1"/>
  <c r="P38" i="6"/>
  <c r="L39" i="6"/>
  <c r="A39" i="6" l="1"/>
  <c r="P39" i="6"/>
  <c r="L40" i="6"/>
  <c r="P40" i="6" l="1"/>
  <c r="A40" i="6"/>
  <c r="L41" i="6"/>
  <c r="P41" i="6" l="1"/>
  <c r="A41" i="6"/>
  <c r="L42" i="6"/>
  <c r="E7" i="14"/>
  <c r="E14" i="14" s="1"/>
  <c r="G7" i="14"/>
  <c r="G14" i="14" s="1"/>
  <c r="G17" i="14" s="1"/>
  <c r="G22" i="14" s="1"/>
  <c r="P42" i="6" l="1"/>
  <c r="A42" i="6"/>
  <c r="L43" i="6"/>
  <c r="E17" i="14"/>
  <c r="E22" i="14" s="1"/>
  <c r="E23" i="14" s="1"/>
  <c r="E24" i="14" s="1"/>
  <c r="E46" i="13" s="1"/>
  <c r="G23" i="14"/>
  <c r="G24" i="14" s="1"/>
  <c r="P43" i="6" l="1"/>
  <c r="A43" i="6"/>
  <c r="L44" i="6"/>
  <c r="G7" i="16"/>
  <c r="E45" i="13"/>
  <c r="G46" i="13"/>
  <c r="G8" i="15"/>
  <c r="G29" i="15" s="1"/>
  <c r="E8" i="15"/>
  <c r="E29" i="15" s="1"/>
  <c r="E7" i="16"/>
  <c r="I7" i="16"/>
  <c r="P44" i="6" l="1"/>
  <c r="A44" i="6"/>
  <c r="L45" i="6"/>
  <c r="F47" i="13"/>
  <c r="F45" i="13" s="1"/>
  <c r="G5" i="16"/>
  <c r="G62" i="15"/>
  <c r="I5" i="16"/>
  <c r="P45" i="6" l="1"/>
  <c r="A45" i="6"/>
  <c r="L46" i="6"/>
  <c r="G47" i="13"/>
  <c r="G45" i="13" s="1"/>
  <c r="A46" i="6" l="1"/>
  <c r="P46" i="6"/>
  <c r="L47" i="6"/>
  <c r="H47" i="13"/>
  <c r="H45" i="13" s="1"/>
  <c r="A47" i="6" l="1"/>
  <c r="P47" i="6"/>
  <c r="L48" i="6"/>
  <c r="A48" i="6" l="1"/>
  <c r="P48" i="6"/>
  <c r="L49" i="6"/>
  <c r="P49" i="6" l="1"/>
  <c r="A49" i="6"/>
  <c r="L50" i="6"/>
  <c r="P50" i="6" l="1"/>
  <c r="A50" i="6"/>
  <c r="L51" i="6"/>
  <c r="P51" i="6" l="1"/>
  <c r="A51" i="6"/>
  <c r="L52" i="6"/>
  <c r="P52" i="6" l="1"/>
  <c r="A52" i="6"/>
  <c r="L53" i="6"/>
  <c r="A53" i="6" l="1"/>
  <c r="P53" i="6"/>
  <c r="L54" i="6"/>
  <c r="A54" i="6" l="1"/>
  <c r="P54" i="6"/>
  <c r="L55" i="6"/>
  <c r="A55" i="6" l="1"/>
  <c r="P55" i="6"/>
  <c r="L56" i="6"/>
  <c r="A56" i="6" l="1"/>
  <c r="P56" i="6"/>
  <c r="L57" i="6"/>
  <c r="F47" i="15"/>
  <c r="A57" i="6" l="1"/>
  <c r="P57" i="6"/>
  <c r="L58" i="6"/>
  <c r="F60" i="15"/>
  <c r="F62" i="15" s="1"/>
  <c r="F5" i="16"/>
  <c r="P58" i="6" l="1"/>
  <c r="A58" i="6"/>
  <c r="L59" i="6"/>
  <c r="E48" i="13"/>
  <c r="F48" i="13" s="1"/>
  <c r="G48" i="13" s="1"/>
  <c r="E47" i="15"/>
  <c r="E5" i="16"/>
  <c r="P59" i="6" l="1"/>
  <c r="A59" i="6"/>
  <c r="L60" i="6"/>
  <c r="E60" i="15"/>
  <c r="E62" i="15" s="1"/>
  <c r="H48" i="13"/>
  <c r="P60" i="6" l="1"/>
  <c r="A60" i="6"/>
  <c r="L61" i="6"/>
  <c r="P61" i="6" l="1"/>
  <c r="A61" i="6"/>
  <c r="L62" i="6"/>
  <c r="A62" i="6" l="1"/>
  <c r="P62" i="6"/>
  <c r="L63" i="6"/>
  <c r="A63" i="6" l="1"/>
  <c r="P63" i="6"/>
  <c r="L64" i="6"/>
  <c r="A64" i="6" l="1"/>
  <c r="P64" i="6"/>
  <c r="L65" i="6"/>
  <c r="J48" i="13"/>
  <c r="P65" i="6" l="1"/>
  <c r="A65" i="6"/>
  <c r="L66" i="6"/>
  <c r="E33" i="11"/>
  <c r="C7" i="11"/>
  <c r="P66" i="6" l="1"/>
  <c r="A66" i="6"/>
  <c r="L67" i="6"/>
  <c r="C5" i="11"/>
  <c r="P67" i="6" l="1"/>
  <c r="A67" i="6"/>
  <c r="L68" i="6"/>
  <c r="C9" i="11"/>
  <c r="A68" i="6" l="1"/>
  <c r="P68" i="6"/>
  <c r="L69" i="6"/>
  <c r="D2" i="10"/>
  <c r="F2" i="10"/>
  <c r="G2" i="10"/>
  <c r="H2" i="10"/>
  <c r="E2" i="10"/>
  <c r="A69" i="6" l="1"/>
  <c r="P69" i="6"/>
  <c r="L70" i="6"/>
  <c r="J2" i="10"/>
  <c r="J3" i="10"/>
  <c r="A70" i="6" l="1"/>
  <c r="P70" i="6"/>
  <c r="L71" i="6"/>
  <c r="D20" i="13"/>
  <c r="D34" i="13" s="1"/>
  <c r="D39" i="13" s="1"/>
  <c r="A71" i="6" l="1"/>
  <c r="P71" i="6"/>
  <c r="L72" i="6"/>
  <c r="D6" i="16"/>
  <c r="E63" i="15"/>
  <c r="E64" i="15" s="1"/>
  <c r="J33" i="13"/>
  <c r="J65" i="15"/>
  <c r="D8" i="16"/>
  <c r="A72" i="6" l="1"/>
  <c r="P72" i="6"/>
  <c r="L73" i="6"/>
  <c r="E39" i="13"/>
  <c r="D38" i="13"/>
  <c r="D37" i="13" s="1"/>
  <c r="D66" i="13" s="1"/>
  <c r="D2" i="13" s="1"/>
  <c r="E32" i="13"/>
  <c r="F63" i="15"/>
  <c r="F64" i="15" s="1"/>
  <c r="P73" i="6" l="1"/>
  <c r="A73" i="6"/>
  <c r="L74" i="6"/>
  <c r="F39" i="13"/>
  <c r="E38" i="13"/>
  <c r="D2" i="15"/>
  <c r="D2" i="14"/>
  <c r="F32" i="13"/>
  <c r="F20" i="13" s="1"/>
  <c r="G63" i="15"/>
  <c r="G64" i="15" s="1"/>
  <c r="E20" i="13"/>
  <c r="P74" i="6" l="1"/>
  <c r="A74" i="6"/>
  <c r="L75" i="6"/>
  <c r="E37" i="13"/>
  <c r="E66" i="13" s="1"/>
  <c r="E34" i="13"/>
  <c r="E8" i="16"/>
  <c r="H63" i="15"/>
  <c r="H64" i="15" s="1"/>
  <c r="G32" i="13"/>
  <c r="F8" i="16"/>
  <c r="F34" i="13"/>
  <c r="F38" i="13"/>
  <c r="G39" i="13"/>
  <c r="P75" i="6" l="1"/>
  <c r="A75" i="6"/>
  <c r="L76" i="6"/>
  <c r="F37" i="13"/>
  <c r="F66" i="13" s="1"/>
  <c r="F2" i="13" s="1"/>
  <c r="F6" i="16"/>
  <c r="E6" i="16"/>
  <c r="G20" i="13"/>
  <c r="H32" i="13"/>
  <c r="H20" i="13" s="1"/>
  <c r="H39" i="13"/>
  <c r="G38" i="13"/>
  <c r="E2" i="13"/>
  <c r="P76" i="6" l="1"/>
  <c r="A76" i="6"/>
  <c r="L77" i="6"/>
  <c r="G37" i="13"/>
  <c r="G66" i="13" s="1"/>
  <c r="H34" i="13"/>
  <c r="H8" i="16"/>
  <c r="H38" i="13"/>
  <c r="G8" i="16"/>
  <c r="G34" i="13"/>
  <c r="E2" i="14"/>
  <c r="E2" i="15"/>
  <c r="F2" i="15"/>
  <c r="F2" i="14"/>
  <c r="P77" i="6" l="1"/>
  <c r="A77" i="6"/>
  <c r="L78" i="6"/>
  <c r="H37" i="13"/>
  <c r="H66" i="13" s="1"/>
  <c r="H2" i="13" s="1"/>
  <c r="G6" i="16"/>
  <c r="H6" i="16"/>
  <c r="G2" i="13"/>
  <c r="I8" i="16"/>
  <c r="A78" i="6" l="1"/>
  <c r="P78" i="6"/>
  <c r="L79" i="6"/>
  <c r="I6" i="16"/>
  <c r="G2" i="14"/>
  <c r="G2" i="15"/>
  <c r="H2" i="15"/>
  <c r="H2" i="14"/>
  <c r="A79" i="6" l="1"/>
  <c r="P79" i="6"/>
  <c r="L80" i="6"/>
  <c r="J64" i="15"/>
  <c r="J8" i="16"/>
  <c r="A80" i="6" l="1"/>
  <c r="P80" i="6"/>
  <c r="L81" i="6"/>
  <c r="J6" i="16"/>
  <c r="J32" i="13"/>
  <c r="A81" i="6" l="1"/>
  <c r="P81" i="6"/>
  <c r="L82" i="6"/>
  <c r="A82" i="6" l="1"/>
  <c r="P82" i="6"/>
  <c r="L83" i="6"/>
  <c r="P83" i="6" l="1"/>
  <c r="A83" i="6"/>
  <c r="L84" i="6"/>
  <c r="J2" i="14"/>
  <c r="J2" i="15"/>
  <c r="J2" i="13"/>
  <c r="P84" i="6" l="1"/>
  <c r="A84" i="6"/>
  <c r="L85" i="6"/>
  <c r="P85" i="6" l="1"/>
  <c r="A85" i="6"/>
  <c r="L86" i="6"/>
  <c r="A86" i="6" l="1"/>
  <c r="P86" i="6"/>
</calcChain>
</file>

<file path=xl/comments1.xml><?xml version="1.0" encoding="utf-8"?>
<comments xmlns="http://schemas.openxmlformats.org/spreadsheetml/2006/main">
  <authors>
    <author>Dovilė Mušinskaitė</author>
  </authors>
  <commentList>
    <comment ref="C27" authorId="0">
      <text>
        <r>
          <rPr>
            <b/>
            <sz val="9"/>
            <color indexed="81"/>
            <rFont val="Tahoma"/>
            <family val="2"/>
            <charset val="186"/>
          </rPr>
          <t>Dovilė Mušinskaitė:</t>
        </r>
        <r>
          <rPr>
            <sz val="9"/>
            <color indexed="81"/>
            <rFont val="Tahoma"/>
            <family val="2"/>
            <charset val="186"/>
          </rPr>
          <t xml:space="preserve">
Pakeista, buvo 50,00 %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<sst xmlns="http://schemas.openxmlformats.org/spreadsheetml/2006/main" count="1458" uniqueCount="990">
  <si>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</si>
  <si>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</si>
  <si>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</si>
  <si>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</si>
  <si>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</si>
  <si>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</si>
  <si>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</si>
  <si>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</si>
  <si>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</si>
  <si>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</si>
  <si>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</si>
  <si>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</si>
  <si>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</si>
  <si>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</si>
  <si>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</si>
  <si>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</si>
  <si>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</si>
  <si>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</si>
  <si>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</si>
  <si>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</si>
  <si>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</si>
  <si>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</si>
  <si>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</si>
  <si>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</si>
  <si>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</si>
  <si>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</si>
  <si>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</si>
  <si>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</si>
  <si>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</si>
  <si>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</si>
  <si>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</si>
  <si>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</si>
  <si>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</si>
  <si>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</si>
  <si>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</si>
  <si>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</si>
  <si>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</si>
  <si>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</si>
  <si>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</si>
  <si>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</si>
  <si>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</si>
  <si>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</si>
  <si>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</si>
  <si>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</si>
  <si>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</si>
  <si>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</si>
  <si>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</si>
  <si>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</si>
  <si>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</si>
  <si>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</si>
  <si>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</si>
  <si>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</si>
  <si>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</si>
  <si>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</si>
  <si>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</si>
  <si>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</si>
  <si>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</si>
  <si>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</si>
  <si>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</si>
  <si>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</si>
  <si>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</si>
  <si>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</si>
  <si>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</si>
  <si>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</si>
  <si>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</si>
  <si>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</si>
  <si>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</si>
  <si>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</si>
  <si>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</si>
  <si>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</si>
  <si>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</si>
  <si>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</si>
  <si>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</si>
  <si>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</si>
  <si>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</si>
  <si>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</si>
  <si>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</si>
  <si>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</si>
  <si>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</si>
  <si>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</si>
  <si>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</si>
  <si>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</si>
  <si>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</si>
  <si>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</si>
  <si>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</si>
  <si>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</si>
  <si>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</si>
  <si>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</si>
  <si>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</si>
  <si>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</si>
  <si>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</si>
  <si>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</si>
  <si>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</si>
  <si>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</si>
  <si>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</si>
  <si>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</si>
  <si>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</si>
  <si>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</si>
  <si>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</si>
  <si>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</si>
  <si>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</si>
  <si>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</si>
  <si>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</si>
  <si>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</si>
  <si>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</si>
  <si>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</si>
  <si>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</si>
  <si>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</si>
  <si>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</si>
  <si>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</si>
  <si>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</si>
  <si>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</si>
  <si>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</si>
  <si>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</si>
  <si>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</si>
  <si>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</si>
  <si>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</si>
  <si>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</si>
  <si>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</si>
  <si>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</si>
  <si>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</si>
  <si>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</si>
  <si>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</si>
  <si>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</si>
  <si>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</si>
  <si>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</si>
  <si>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</si>
  <si>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</si>
  <si>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</si>
  <si>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</si>
  <si>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</si>
  <si>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</si>
  <si>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</si>
  <si>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</si>
  <si>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</si>
  <si>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</si>
  <si>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</si>
  <si>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</si>
  <si>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Skoliniai įsipareigojimai</t>
  </si>
  <si>
    <t>Skolos kredito įstaigoms</t>
  </si>
  <si>
    <t>Gauti avansai</t>
  </si>
  <si>
    <t>Skolos tiekėjams</t>
  </si>
  <si>
    <t>Kitos mokėtinos sumos ir ilgalaikiai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</si>
  <si>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</si>
  <si>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</si>
  <si>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</si>
  <si>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</si>
  <si>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</si>
  <si>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</si>
  <si>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</si>
  <si>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</si>
  <si>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</si>
  <si>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</si>
  <si>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</si>
  <si>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</si>
  <si>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</si>
  <si>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</si>
  <si>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</si>
  <si>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</si>
  <si>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</si>
  <si>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</si>
  <si>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</si>
  <si>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</si>
  <si>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</si>
  <si>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</si>
  <si>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</si>
  <si>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</si>
  <si>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</si>
  <si>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</si>
  <si>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</si>
  <si>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</si>
  <si>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</si>
  <si>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</si>
  <si>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</si>
  <si>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</si>
  <si>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</si>
  <si>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</si>
  <si>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</si>
  <si>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</si>
  <si>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</si>
  <si>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</si>
  <si>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</si>
  <si>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</si>
  <si>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</si>
  <si>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</si>
  <si>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</si>
  <si>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</si>
  <si>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</si>
  <si>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</si>
  <si>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</si>
  <si>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</si>
  <si>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</si>
  <si>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</si>
  <si>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</si>
  <si>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</si>
  <si>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</si>
  <si>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</si>
  <si>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</si>
  <si>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</si>
  <si>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</si>
  <si>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</si>
  <si>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</si>
  <si>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</si>
  <si>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</si>
  <si>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</si>
  <si>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</si>
  <si>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</si>
  <si>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</si>
  <si>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</si>
  <si>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</si>
  <si>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</si>
  <si>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</si>
  <si>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</si>
  <si>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</si>
  <si>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</si>
  <si>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</si>
  <si>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</si>
  <si>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</si>
  <si>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</si>
  <si>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</si>
  <si>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</si>
  <si>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</si>
  <si>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</si>
  <si>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</si>
  <si>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</si>
  <si>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</si>
  <si>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</si>
  <si>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</si>
  <si>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</si>
  <si>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</si>
  <si>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</si>
  <si>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</si>
  <si>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</si>
  <si>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</si>
  <si>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</si>
  <si>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</si>
  <si>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</si>
  <si>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</si>
  <si>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</si>
  <si>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</si>
  <si>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</si>
  <si>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</si>
  <si>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</si>
  <si>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</si>
  <si>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</si>
  <si>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</si>
  <si>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</si>
  <si>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</si>
  <si>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</si>
  <si>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</si>
  <si>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</si>
  <si>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</si>
  <si>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</si>
  <si>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</si>
  <si>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</si>
  <si>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</si>
  <si>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</si>
  <si>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</si>
  <si>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</si>
  <si>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</si>
  <si>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</si>
  <si>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</si>
  <si>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</si>
  <si>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</si>
  <si>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</si>
  <si>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</si>
  <si>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</si>
  <si>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</si>
  <si>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</si>
  <si>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</si>
  <si>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</si>
  <si>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</si>
  <si>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</si>
  <si>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</si>
  <si>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</si>
  <si>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</si>
  <si>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</si>
  <si>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</si>
  <si>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</si>
  <si>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</si>
  <si>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</si>
  <si>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</si>
  <si>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</si>
  <si>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</si>
  <si>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</si>
  <si>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</si>
  <si>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</si>
  <si>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</si>
  <si>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</si>
  <si>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</si>
  <si>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</si>
  <si>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</si>
  <si>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</si>
  <si>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</si>
  <si>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</si>
  <si>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</si>
  <si>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</si>
  <si>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</si>
  <si>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</si>
  <si>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</si>
  <si>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</si>
  <si>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</si>
  <si>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</si>
  <si>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</si>
  <si>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</si>
  <si>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</si>
  <si>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</si>
  <si>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</si>
  <si>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</si>
  <si>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</si>
  <si>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</si>
  <si>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</si>
  <si>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</si>
  <si>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</si>
  <si>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</si>
  <si>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</si>
  <si>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</si>
  <si>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</si>
  <si>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</si>
  <si>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</si>
  <si>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</si>
  <si>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</si>
  <si>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</si>
  <si>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</si>
  <si>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</si>
  <si>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</si>
  <si>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</si>
  <si>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</si>
  <si>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</si>
  <si>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</si>
  <si>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</si>
  <si>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</si>
  <si>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</si>
  <si>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</si>
  <si>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</si>
  <si>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</si>
  <si>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</si>
  <si>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</si>
  <si>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</si>
  <si>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</si>
  <si>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</si>
  <si>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</si>
  <si>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</si>
  <si>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</si>
  <si>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</si>
  <si>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</si>
  <si>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</si>
  <si>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</si>
  <si>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</si>
  <si>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</si>
  <si>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</si>
  <si>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Įrašykite pareiškėjo pavadinimą (jeigu tai juridinis asmuo) arba vardą ir pavardę (jeigu tai fizinis asmuo)</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</si>
  <si>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</si>
  <si>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</si>
  <si>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</si>
  <si>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</si>
  <si>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</si>
  <si>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</si>
  <si>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</si>
  <si>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</si>
  <si>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</si>
  <si>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</si>
  <si>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</si>
  <si>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</si>
  <si>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</si>
  <si>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</si>
  <si>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</si>
  <si>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</si>
  <si>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</si>
  <si>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</si>
  <si>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</si>
  <si>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</si>
  <si>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</si>
  <si>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</si>
  <si>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</si>
  <si>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</si>
  <si>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</si>
  <si>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</si>
  <si>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</si>
  <si>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</si>
  <si>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</si>
  <si>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</si>
  <si>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</si>
  <si>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</si>
  <si>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</si>
  <si>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</si>
  <si>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</si>
  <si>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</si>
  <si>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</si>
  <si>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</si>
  <si>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</si>
  <si>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</si>
  <si>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</si>
  <si>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</si>
  <si>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</si>
  <si>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</si>
  <si>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</si>
  <si>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</si>
  <si>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</si>
  <si>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</si>
  <si>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Išperkamoji nuoma (lizingas)</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</si>
  <si>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</si>
  <si>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</si>
  <si>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</si>
  <si>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</si>
  <si>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</si>
  <si>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</si>
  <si>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</si>
  <si>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</si>
  <si>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</si>
  <si>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</si>
  <si>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</si>
  <si>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</si>
  <si>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</si>
  <si>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</si>
  <si>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</si>
  <si>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</si>
  <si>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</si>
  <si>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</si>
  <si>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</si>
  <si>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</si>
  <si>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</si>
  <si>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</si>
  <si>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</si>
  <si>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</si>
  <si>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</si>
  <si>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</si>
  <si>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</si>
  <si>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</si>
  <si>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</si>
  <si>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</si>
  <si>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</si>
  <si>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</si>
  <si>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</si>
  <si>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</si>
  <si>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</si>
  <si>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</si>
  <si>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</si>
  <si>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</si>
  <si>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</si>
  <si>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</si>
  <si>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</si>
  <si>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</si>
  <si>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</si>
  <si>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</si>
  <si>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</si>
  <si>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</si>
  <si>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</si>
  <si>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</si>
  <si>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</si>
  <si>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</si>
  <si>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</si>
  <si>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</si>
  <si>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</si>
  <si>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</si>
  <si>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</si>
  <si>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</si>
  <si>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</si>
  <si>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</si>
  <si>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</si>
  <si>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</si>
  <si>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</si>
  <si>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</si>
  <si>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</si>
  <si>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</si>
  <si>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</si>
  <si>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</si>
  <si>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</si>
  <si>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</si>
  <si>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</si>
  <si>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</si>
  <si>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</si>
  <si>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</si>
  <si>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</si>
  <si>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</si>
  <si>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</si>
  <si>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</si>
  <si>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</si>
  <si>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</si>
  <si>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</si>
  <si>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</si>
  <si>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</si>
  <si>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</si>
  <si>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</si>
  <si>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</si>
  <si>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</si>
  <si>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</si>
  <si>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</si>
  <si>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</si>
  <si>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</si>
  <si>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</si>
  <si>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</si>
  <si>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</si>
  <si>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</si>
  <si>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</si>
  <si>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</si>
  <si>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</si>
  <si>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</si>
  <si>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</si>
  <si>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</si>
  <si>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</si>
  <si>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</si>
  <si>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</si>
  <si>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</si>
  <si>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</si>
  <si>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</si>
  <si>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</si>
  <si>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</si>
  <si>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</si>
  <si>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</si>
  <si>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</si>
  <si>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</si>
  <si>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</si>
  <si>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</si>
  <si>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</si>
  <si>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</si>
  <si>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</si>
  <si>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</si>
  <si>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</si>
  <si>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</si>
  <si>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</si>
  <si>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</si>
  <si>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</si>
  <si>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</si>
  <si>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</si>
  <si>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</si>
  <si>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</si>
  <si>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</si>
  <si>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</si>
  <si>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</si>
  <si>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</si>
  <si>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</si>
  <si>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</si>
  <si>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</si>
  <si>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</si>
  <si>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</si>
  <si>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</si>
  <si>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</si>
  <si>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</si>
  <si>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</si>
  <si>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</si>
  <si>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</si>
  <si>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</si>
  <si>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</si>
  <si>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</si>
  <si>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</si>
  <si>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</si>
  <si>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</si>
  <si>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</si>
  <si>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</si>
  <si>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</si>
  <si>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</si>
  <si>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</si>
  <si>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</si>
  <si>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</si>
  <si>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</si>
  <si>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</si>
  <si>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</si>
  <si>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</si>
  <si>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</si>
  <si>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</si>
  <si>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</si>
  <si>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</si>
  <si>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</si>
  <si>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</si>
  <si>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</si>
  <si>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</si>
  <si>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</si>
  <si>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</si>
  <si>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</si>
  <si>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</si>
  <si>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</si>
  <si>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</si>
  <si>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</si>
  <si>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</si>
  <si>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</si>
  <si>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</si>
  <si>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</si>
  <si>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</si>
  <si>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</si>
  <si>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</si>
  <si>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</si>
  <si>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</si>
  <si>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</si>
  <si>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</si>
  <si>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</si>
  <si>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</si>
  <si>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</si>
  <si>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</si>
  <si>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</si>
  <si>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</si>
  <si>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</si>
  <si>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</si>
  <si>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</si>
  <si>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</si>
  <si>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</si>
  <si>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</si>
  <si>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</si>
  <si>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</si>
  <si>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</si>
  <si>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</si>
  <si>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</si>
  <si>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</si>
  <si>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</si>
  <si>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</si>
  <si>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</si>
  <si>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</si>
  <si>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</si>
  <si>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</si>
  <si>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</si>
  <si>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</si>
  <si>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</si>
  <si>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</si>
  <si>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</si>
  <si>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</si>
  <si>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</si>
  <si>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</si>
  <si>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</si>
  <si>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</si>
  <si>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</si>
  <si>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</si>
  <si>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</si>
  <si>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</si>
  <si>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</si>
  <si>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</si>
  <si>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</si>
  <si>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</si>
  <si>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</si>
  <si>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</si>
  <si>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</si>
  <si>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</si>
  <si>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</si>
  <si>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</si>
  <si>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</si>
  <si>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</si>
  <si>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</si>
  <si>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</si>
  <si>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</si>
  <si>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</si>
  <si>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</si>
  <si>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</si>
  <si>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</si>
  <si>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</si>
  <si>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</si>
  <si>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</si>
  <si>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</si>
  <si>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</si>
  <si>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</si>
  <si>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</si>
  <si>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</si>
  <si>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</si>
  <si>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</si>
  <si>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</si>
  <si>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</si>
  <si>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</si>
  <si>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</si>
  <si>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</si>
  <si>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</si>
  <si>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</si>
  <si>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</si>
  <si>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</si>
  <si>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</si>
  <si>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</si>
  <si>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</si>
  <si>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</si>
  <si>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</si>
  <si>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</si>
  <si>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</si>
  <si>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</si>
  <si>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</si>
  <si>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</si>
  <si>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</si>
  <si>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</si>
  <si>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</si>
  <si>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</si>
  <si>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</si>
  <si>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</si>
  <si>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</si>
  <si>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</si>
  <si>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</si>
  <si>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</si>
  <si>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</si>
  <si>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</si>
  <si>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</si>
  <si>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</si>
  <si>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</si>
  <si>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</si>
  <si>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</si>
  <si>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</si>
  <si>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</si>
  <si>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</si>
  <si>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</si>
  <si>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</si>
  <si>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</si>
  <si>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</si>
  <si>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</si>
  <si>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</si>
  <si>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</si>
  <si>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</si>
  <si>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</si>
  <si>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</si>
  <si>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</si>
  <si>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</si>
  <si>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</si>
  <si>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</si>
  <si>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</si>
  <si>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</si>
  <si>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</si>
  <si>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</si>
  <si>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</si>
  <si>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</si>
  <si>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</si>
  <si>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</si>
  <si>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</si>
  <si>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</si>
  <si>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</si>
  <si>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</si>
  <si>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</si>
  <si>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</si>
  <si>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</si>
  <si>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</si>
  <si>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</si>
  <si>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</si>
  <si>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</si>
  <si>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</si>
  <si>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</si>
  <si>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</si>
  <si>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</si>
  <si>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</si>
  <si>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</si>
  <si>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</si>
  <si>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</si>
  <si>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</si>
  <si>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</si>
  <si>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</si>
  <si>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</si>
  <si>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</si>
  <si>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</si>
  <si>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</si>
  <si>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</si>
  <si>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</si>
  <si>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</si>
  <si>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</si>
  <si>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</si>
  <si>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</si>
  <si>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</si>
  <si>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</si>
  <si>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</si>
  <si>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</si>
  <si>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</si>
  <si>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</si>
  <si>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</si>
  <si>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</si>
  <si>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</si>
  <si>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</si>
  <si>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</si>
  <si>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</si>
  <si>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</si>
  <si>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</si>
  <si>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</si>
  <si>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</si>
  <si>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</si>
  <si>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</si>
  <si>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</si>
  <si>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</si>
  <si>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</si>
  <si>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</si>
  <si>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</si>
  <si>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</si>
  <si>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</si>
  <si>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</si>
  <si>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</si>
  <si>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</si>
  <si>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</si>
  <si>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</si>
  <si>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</si>
  <si>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</si>
  <si>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</si>
  <si>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</si>
  <si>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</si>
  <si>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Ilgalaikių skolų einamųjų metų dalis</t>
  </si>
  <si>
    <t>Balanso prognozės, Eur</t>
  </si>
  <si>
    <t>Pelno (nuostolių) ataskaitos prognozės, Eur</t>
  </si>
  <si>
    <t>Pinigų srautų ataskaitos prognozės, Eur</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</si>
  <si>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</si>
  <si>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</si>
  <si>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</si>
  <si>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</si>
  <si>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</si>
  <si>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</si>
  <si>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</si>
  <si>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</si>
  <si>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</si>
  <si>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</si>
  <si>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</si>
  <si>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</si>
  <si>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</si>
  <si>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</si>
  <si>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</si>
  <si>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</si>
  <si>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</si>
  <si>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</si>
  <si>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</si>
  <si>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</si>
  <si>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</si>
  <si>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</si>
  <si>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</si>
  <si>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</si>
  <si>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</si>
  <si>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</si>
  <si>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</si>
  <si>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</si>
  <si>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</si>
  <si>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</si>
  <si>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</si>
  <si>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</si>
  <si>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</si>
  <si>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</si>
  <si>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</si>
  <si>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</si>
  <si>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</si>
  <si>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</si>
  <si>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</si>
  <si>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</si>
  <si>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</si>
  <si>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</si>
  <si>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</si>
  <si>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</si>
  <si>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</si>
  <si>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</si>
  <si>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</si>
  <si>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</si>
  <si>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</si>
  <si>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</si>
  <si>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</si>
  <si>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</si>
  <si>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</si>
  <si>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</si>
  <si>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</si>
  <si>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</si>
  <si>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</si>
  <si>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</si>
  <si>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</si>
  <si>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</si>
  <si>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</si>
  <si>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</si>
  <si>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</si>
  <si>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</si>
  <si>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</si>
  <si>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</si>
  <si>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</si>
  <si>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</si>
  <si>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</si>
  <si>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</si>
  <si>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</si>
  <si>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DALININKŲ KAPITALAS</t>
  </si>
  <si>
    <t>NELIEČIAMSIS KAPITALAS</t>
  </si>
  <si>
    <t>SUKAUPTAS VEIKLOS REZULTATAS</t>
  </si>
  <si>
    <t>KITI REZERVAI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</si>
  <si>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</si>
  <si>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</si>
  <si>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</si>
  <si>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</si>
  <si>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</si>
  <si>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</si>
  <si>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</si>
  <si>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</si>
  <si>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</si>
  <si>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</si>
  <si>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</si>
  <si>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</si>
  <si>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</si>
  <si>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</si>
  <si>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</si>
  <si>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</si>
  <si>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</si>
  <si>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</si>
  <si>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</si>
  <si>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</si>
  <si>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</si>
  <si>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</si>
  <si>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</si>
  <si>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</si>
  <si>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</si>
  <si>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</si>
  <si>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</si>
  <si>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</si>
  <si>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</si>
  <si>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</si>
  <si>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</si>
  <si>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</si>
  <si>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</si>
  <si>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</si>
  <si>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</si>
  <si>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</si>
  <si>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</si>
  <si>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</si>
  <si>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</si>
  <si>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</si>
  <si>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</si>
  <si>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</si>
  <si>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</si>
  <si>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</si>
  <si>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</si>
  <si>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</si>
  <si>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</si>
  <si>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</si>
  <si>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</si>
  <si>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</si>
  <si>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</si>
  <si>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</si>
  <si>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</si>
  <si>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</si>
  <si>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</si>
  <si>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</si>
  <si>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</si>
  <si>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</si>
  <si>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Įskaitant ilgalaikį biologinį turtą.</t>
  </si>
  <si>
    <t>Problema nėra kritinė. Pinigų srautuose pinigų likutis skaičiuojamas teisingai, tačiau pagrindinės veiklos pinigų srautas, gali būti atvaizduotas neteisingai. Jei NVO būtų skaičiuojamas paskolų padengimo rodiklis, FA formas reikėtų tikslinti.</t>
  </si>
  <si>
    <t>7.4.</t>
  </si>
  <si>
    <t>7.4.1.</t>
  </si>
  <si>
    <t>Pareiškėjas</t>
  </si>
  <si>
    <t>Verslo subjektai</t>
  </si>
  <si>
    <t>Asociacijos ir viešosios įstaigos</t>
  </si>
  <si>
    <t>Finansinės investicinės veiklos sąnaudos:</t>
  </si>
  <si>
    <t>Atkreipkite dėmesį! Formulė ataskaitiniais metais gali būti ištrinta ir įrašyti duomenys iš apskaitos.</t>
  </si>
  <si>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</si>
  <si>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</si>
  <si>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</si>
  <si>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</si>
  <si>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</si>
  <si>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</si>
  <si>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</si>
  <si>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</si>
  <si>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</si>
  <si>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</si>
  <si>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</si>
  <si>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 xml:space="preserve">Forma </t>
  </si>
  <si>
    <t>(Verslo plano pagal Lietuvos žemės ūkio ir kaimo plėtros 2023–2027 metų strateginio plano intervencinę  priemonę „Bendruomenių inicijuota vietos plėtra (LEADER)“ forma)</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</si>
  <si>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</si>
  <si>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</si>
  <si>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Pildoma pasirinkus reikšmę iš sąrašo.</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</si>
  <si>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</si>
  <si>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</si>
  <si>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</si>
  <si>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</si>
  <si>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</si>
  <si>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</si>
  <si>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</si>
  <si>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</si>
  <si>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</si>
  <si>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</si>
  <si>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</si>
  <si>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</si>
  <si>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</si>
  <si>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</si>
  <si>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</si>
  <si>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</si>
  <si>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</si>
  <si>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</si>
  <si>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</si>
  <si>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</si>
  <si>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</si>
  <si>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</si>
  <si>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</si>
  <si>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</si>
  <si>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</si>
  <si>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</si>
  <si>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PO VIENŲ METŲ MOKĖTINOS SUMOS IR KITI ILGALAIKIAI ĮSIPAREIGOJIMAI</t>
  </si>
  <si>
    <t>PER VIENUS METUS MOKĖTINOS SUMOS IR KITI TRUMPALAIKIAI ĮSIPAREIGOJIMAI</t>
  </si>
  <si>
    <t>Pagal turto pobūdį priskirkite kitai materialaus turto grupei (6 skyrius), pvz., grupei "Pastatai ir statiniai".</t>
  </si>
  <si>
    <t>Įskaitant ilgalaikį materialųjį turtą, skirtą parduoti.</t>
  </si>
  <si>
    <t>Išperkamosios nuomos (lizingo) dalis mokėtina per ateinančius metus.</t>
  </si>
  <si>
    <t>Paaiškinimas reikalingas tik tuomet, kai naudojamas kitoks nei 15 proc. tarifas</t>
  </si>
  <si>
    <t>Paramos suma apskaičiuojama automatiškai, remiantis 5 skyriaus duomenimis (būtina teisingai įvesti paramos dydį ir jos gavimo datą (-as)).</t>
  </si>
  <si>
    <t>Finansinės ir investicinės veiklos pajamos: 1) kitų ilgalaikių investicijų ir paskolų pajamos; 2) kitos palūkanų ir panašios pajamos.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</si>
  <si>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</si>
  <si>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</si>
  <si>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 xml:space="preserve">VERSLO PLANAS 
</t>
  </si>
  <si>
    <t xml:space="preserve">Verslo plane visa informacija rašoma tik į mėlynos spalvos langelius. Privalomai pildomas laukas (pildo vietos projekto pareiškėjas), suvedama prašoma informacija. </t>
  </si>
  <si>
    <t xml:space="preserve">Žalsvos spalvos fone pasirenkama reikšmė iš atverčiamo meniu. Automatizuotas atsakymas, pasirenkamas vienas iš siūlomų variantų (pildo vietos projekto pareiškėjas). Siūlomas variantas pasirenkamas su dešinėje laukelio pusėje esančia rodykle. </t>
  </si>
  <si>
    <t>Pilkos spalvos lengelis užrakintas ir negali būti redaguojamas. Laukas nepildomas. Skaičiavimui suvesta formulė arba tekstas.</t>
  </si>
  <si>
    <t>Baltame fone  gali būti pateikta svarbi informacija, kaip pildyti verslo plano eilutę, arba gali būti gautas pranešimas ar ši eilutė užpildyta teisingai.</t>
  </si>
  <si>
    <t>≥ 1 proc.</t>
  </si>
  <si>
    <t>≥ 0 proc.</t>
  </si>
  <si>
    <t>≤ 0,65</t>
  </si>
  <si>
    <t>≥ 1,25 proc.</t>
  </si>
  <si>
    <t>2-2</t>
  </si>
  <si>
    <t>2025-07-04 Nr. FR-2150</t>
  </si>
  <si>
    <t>VERSLO PLANAS, TEIKIAMAS PAGAL SŪDUVOS VIETOS VEIKLOS GRUPĖS VIETOS PLĖTROS STRATEGIJOS PRIEMONĘ „"Sūduvos VVG 2023-2027 m. vietos plėtros strategija"
Nr. 20VS-PV-23-1-01829-PR001“ (PRIEMONĖS PAVADINIMAS) Nr. "VERSLO KŪRIMAS IR PLĖTRA" NR. KAZL-LEADER-20VVG-03-01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</si>
</sst>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_(* ###0_);_(* \(\ ###0\);_(* &quot;-&quot;??_);_(@_)"/>
    <numFmt numFmtId="166" formatCode="0;\-0;&quot;-&quot;"/>
    <numFmt numFmtId="167" formatCode="_(* #,##0_);_(* \(#,##0\);_(* &quot;-&quot;_);_(@_)"/>
  </numFmts>
  <fonts count="60"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sz val="9"/>
      <color indexed="81"/>
      <name val="Tahoma"/>
      <family val="2"/>
      <charset val="186"/>
    </font>
    <font>
      <b/>
      <sz val="9"/>
      <color indexed="81"/>
      <name val="Tahoma"/>
      <family val="2"/>
      <charset val="186"/>
    </font>
    <font>
      <i/>
      <sz val="9"/>
      <name val="Calibri"/>
      <family val="2"/>
      <charset val="186"/>
      <scheme val="minor"/>
    </font>
  </fonts>
  <fills count="11">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
      <patternFill patternType="solid">
        <fgColor theme="4" tint="0.79998168889431442"/>
        <bgColor indexed="64"/>
      </patternFill>
    </fill>
  </fills>
  <borders count="40">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style="thin">
        <color indexed="64"/>
      </left>
      <right style="thin">
        <color theme="5" tint="0.39997558519241921"/>
      </right>
      <top style="double">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37">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0" fontId="10" fillId="0" borderId="0" xfId="0" applyFont="1" applyAlignment="1">
      <alignment horizontal="left" vertical="top"/>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5" fillId="0" borderId="0" xfId="0" applyFont="1" applyAlignment="1">
      <alignment horizontal="left" vertical="top"/>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0" fontId="28" fillId="0" borderId="26" xfId="0" applyFont="1" applyBorder="1" applyAlignment="1">
      <alignment horizontal="center" vertical="top"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0" fontId="0" fillId="0" borderId="14" xfId="0" applyBorder="1" applyAlignment="1">
      <alignment vertical="top" wrapText="1"/>
    </xf>
    <xf numFmtId="0" fontId="0" fillId="0" borderId="13" xfId="0" applyBorder="1" applyAlignment="1">
      <alignment horizontal="left" vertical="top" wrapText="1"/>
    </xf>
    <xf numFmtId="2" fontId="6" fillId="0" borderId="3" xfId="0" applyNumberFormat="1" applyFont="1" applyBorder="1" applyAlignment="1">
      <alignment vertical="center"/>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0" fontId="30" fillId="3"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0" fontId="2" fillId="0" borderId="29" xfId="0" applyFont="1" applyBorder="1" applyAlignment="1">
      <alignment vertical="top"/>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0" fontId="2" fillId="0" borderId="29" xfId="0" applyFont="1" applyBorder="1" applyAlignment="1">
      <alignment horizontal="left" vertical="top"/>
    </xf>
    <xf numFmtId="0" fontId="6" fillId="0" borderId="12" xfId="0" applyFont="1" applyBorder="1" applyAlignment="1">
      <alignment horizontal="left" vertical="center"/>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0" fontId="2" fillId="0" borderId="30" xfId="0" applyFont="1" applyBorder="1" applyAlignment="1">
      <alignment horizontal="left" vertical="top"/>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167" fontId="2" fillId="0" borderId="0" xfId="0" applyNumberFormat="1" applyFont="1" applyAlignment="1" applyProtection="1">
      <alignment vertical="top"/>
      <protection locked="0"/>
    </xf>
    <xf numFmtId="2" fontId="6" fillId="0" borderId="3" xfId="0" applyNumberFormat="1" applyFont="1" applyBorder="1" applyAlignment="1">
      <alignment horizontal="right" vertical="center" indent="1"/>
    </xf>
    <xf numFmtId="0" fontId="30" fillId="3" borderId="0" xfId="0" applyFont="1" applyFill="1" applyAlignment="1">
      <alignment vertical="center"/>
    </xf>
    <xf numFmtId="0" fontId="6" fillId="0" borderId="32" xfId="0" applyFont="1" applyBorder="1" applyAlignment="1">
      <alignment horizontal="left" vertical="center"/>
    </xf>
    <xf numFmtId="0" fontId="23" fillId="6" borderId="3" xfId="0" applyFont="1" applyFill="1" applyBorder="1" applyAlignment="1">
      <alignment horizontal="left" vertical="top" wrapText="1"/>
    </xf>
    <xf numFmtId="0" fontId="23" fillId="6" borderId="6" xfId="0" applyFont="1" applyFill="1" applyBorder="1" applyAlignment="1">
      <alignment horizontal="left" vertical="top" wrapText="1"/>
    </xf>
    <xf numFmtId="0" fontId="6" fillId="6" borderId="13" xfId="0" applyFont="1" applyFill="1" applyBorder="1" applyAlignment="1">
      <alignment horizontal="center" vertical="center"/>
    </xf>
    <xf numFmtId="0" fontId="6" fillId="6" borderId="13" xfId="0" applyFont="1" applyFill="1" applyBorder="1" applyAlignment="1">
      <alignment horizontal="center" vertical="center" wrapText="1"/>
    </xf>
    <xf numFmtId="0" fontId="4" fillId="6" borderId="0" xfId="0" applyFont="1" applyFill="1" applyAlignment="1">
      <alignment horizontal="left" vertical="center"/>
    </xf>
    <xf numFmtId="0" fontId="8" fillId="6" borderId="6"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3" xfId="0" applyFont="1" applyFill="1" applyBorder="1" applyAlignment="1">
      <alignment vertical="center"/>
    </xf>
    <xf numFmtId="0" fontId="8"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8" fillId="6" borderId="13" xfId="0" applyFont="1" applyFill="1" applyBorder="1" applyAlignment="1">
      <alignment vertical="center"/>
    </xf>
    <xf numFmtId="0" fontId="8" fillId="6" borderId="13" xfId="0" applyFont="1" applyFill="1" applyBorder="1" applyAlignment="1">
      <alignment vertical="center" wrapText="1"/>
    </xf>
    <xf numFmtId="0" fontId="8" fillId="6" borderId="13" xfId="0" applyFont="1" applyFill="1" applyBorder="1" applyAlignment="1">
      <alignment horizontal="center" vertical="center" wrapText="1"/>
    </xf>
    <xf numFmtId="0" fontId="4" fillId="6" borderId="0" xfId="0" applyFont="1" applyFill="1" applyAlignment="1">
      <alignment horizontal="left" vertical="top"/>
    </xf>
    <xf numFmtId="0" fontId="4" fillId="6" borderId="0" xfId="0" applyFont="1" applyFill="1" applyAlignment="1">
      <alignment vertical="top"/>
    </xf>
    <xf numFmtId="0" fontId="4" fillId="6" borderId="6" xfId="0" applyFont="1" applyFill="1" applyBorder="1" applyAlignment="1">
      <alignment horizontal="left" vertical="top"/>
    </xf>
    <xf numFmtId="0" fontId="4" fillId="6" borderId="6" xfId="0" applyFont="1" applyFill="1" applyBorder="1" applyAlignment="1">
      <alignment vertical="top"/>
    </xf>
    <xf numFmtId="0" fontId="4" fillId="6" borderId="3" xfId="0" applyFont="1" applyFill="1" applyBorder="1" applyAlignment="1">
      <alignment vertical="top"/>
    </xf>
    <xf numFmtId="0" fontId="2" fillId="6" borderId="13" xfId="0" applyFont="1" applyFill="1" applyBorder="1" applyAlignment="1">
      <alignment horizontal="center" vertical="center" wrapText="1"/>
    </xf>
    <xf numFmtId="0" fontId="6" fillId="6" borderId="24" xfId="0" applyFont="1" applyFill="1" applyBorder="1" applyAlignment="1">
      <alignment horizontal="right" vertical="center"/>
    </xf>
    <xf numFmtId="0" fontId="6" fillId="6" borderId="3" xfId="0" applyFont="1" applyFill="1" applyBorder="1" applyAlignment="1">
      <alignment horizontal="right" vertical="center" wrapText="1"/>
    </xf>
    <xf numFmtId="0" fontId="6" fillId="6" borderId="3" xfId="0" applyFont="1" applyFill="1" applyBorder="1" applyAlignment="1">
      <alignment horizontal="right" vertical="center"/>
    </xf>
    <xf numFmtId="0" fontId="8" fillId="6" borderId="3" xfId="0" applyFont="1" applyFill="1" applyBorder="1" applyAlignment="1">
      <alignment horizontal="left" vertical="center" wrapText="1"/>
    </xf>
    <xf numFmtId="0" fontId="6" fillId="6" borderId="15" xfId="0" applyFont="1" applyFill="1" applyBorder="1" applyAlignment="1">
      <alignment horizontal="right" vertical="center"/>
    </xf>
    <xf numFmtId="0" fontId="6" fillId="6" borderId="3" xfId="0" applyFont="1" applyFill="1" applyBorder="1" applyAlignment="1">
      <alignment horizontal="left" vertical="center" wrapText="1"/>
    </xf>
    <xf numFmtId="0" fontId="8" fillId="6" borderId="0" xfId="0" applyFont="1" applyFill="1" applyAlignment="1">
      <alignment horizontal="left" vertical="top"/>
    </xf>
    <xf numFmtId="0" fontId="6" fillId="6" borderId="15" xfId="0" applyFont="1" applyFill="1" applyBorder="1" applyAlignment="1">
      <alignment horizontal="left" vertical="top"/>
    </xf>
    <xf numFmtId="0" fontId="6" fillId="6" borderId="3" xfId="0" applyFont="1" applyFill="1" applyBorder="1" applyAlignment="1">
      <alignment horizontal="left" vertical="top"/>
    </xf>
    <xf numFmtId="167" fontId="13" fillId="6" borderId="21" xfId="0" applyNumberFormat="1" applyFont="1" applyFill="1" applyBorder="1" applyAlignment="1">
      <alignment horizontal="left" vertical="top"/>
    </xf>
    <xf numFmtId="0" fontId="8" fillId="6" borderId="15" xfId="0" applyFont="1" applyFill="1" applyBorder="1" applyAlignment="1">
      <alignment horizontal="left" vertical="center"/>
    </xf>
    <xf numFmtId="0" fontId="8" fillId="6" borderId="18" xfId="0" applyFont="1" applyFill="1" applyBorder="1" applyAlignment="1">
      <alignment horizontal="left" vertical="center" wrapText="1"/>
    </xf>
    <xf numFmtId="0" fontId="8" fillId="6" borderId="0" xfId="0" applyFont="1" applyFill="1" applyAlignment="1">
      <alignment horizontal="left" vertical="center"/>
    </xf>
    <xf numFmtId="0" fontId="8" fillId="6" borderId="0" xfId="0" applyFont="1" applyFill="1" applyAlignment="1">
      <alignment horizontal="left" vertical="center" wrapText="1"/>
    </xf>
    <xf numFmtId="3" fontId="8" fillId="6" borderId="0" xfId="0" applyNumberFormat="1" applyFont="1" applyFill="1" applyAlignment="1">
      <alignment horizontal="right" vertical="center"/>
    </xf>
    <xf numFmtId="0" fontId="4" fillId="6" borderId="8" xfId="0" applyFont="1" applyFill="1" applyBorder="1" applyAlignment="1">
      <alignment vertical="top"/>
    </xf>
    <xf numFmtId="0" fontId="3" fillId="6" borderId="3" xfId="0" applyFont="1" applyFill="1" applyBorder="1" applyAlignment="1">
      <alignment horizontal="center" vertical="center" wrapText="1"/>
    </xf>
    <xf numFmtId="2" fontId="2" fillId="6" borderId="29" xfId="0" applyNumberFormat="1" applyFont="1" applyFill="1" applyBorder="1" applyAlignment="1">
      <alignment vertical="top"/>
    </xf>
    <xf numFmtId="0" fontId="4" fillId="6" borderId="7" xfId="0" applyFont="1" applyFill="1" applyBorder="1" applyAlignment="1">
      <alignment horizontal="left" vertical="top"/>
    </xf>
    <xf numFmtId="0" fontId="4" fillId="6" borderId="8" xfId="0" applyFont="1" applyFill="1" applyBorder="1" applyAlignment="1">
      <alignment horizontal="left" vertical="top"/>
    </xf>
    <xf numFmtId="0" fontId="16" fillId="6" borderId="0" xfId="0" applyFont="1" applyFill="1" applyAlignment="1">
      <alignment vertical="top" wrapText="1"/>
    </xf>
    <xf numFmtId="0" fontId="18" fillId="6" borderId="15" xfId="0" applyFont="1" applyFill="1" applyBorder="1" applyAlignment="1">
      <alignment horizontal="left" vertical="center"/>
    </xf>
    <xf numFmtId="0" fontId="8" fillId="6" borderId="7" xfId="0" applyFont="1" applyFill="1" applyBorder="1" applyAlignment="1">
      <alignment horizontal="left" vertical="center" wrapText="1"/>
    </xf>
    <xf numFmtId="167" fontId="19" fillId="6" borderId="20" xfId="0" applyNumberFormat="1" applyFont="1" applyFill="1" applyBorder="1" applyAlignment="1">
      <alignment horizontal="right" vertical="center"/>
    </xf>
    <xf numFmtId="167" fontId="19" fillId="6" borderId="2" xfId="0" applyNumberFormat="1" applyFont="1" applyFill="1" applyBorder="1" applyAlignment="1">
      <alignment horizontal="right" vertical="center"/>
    </xf>
    <xf numFmtId="0" fontId="8" fillId="6" borderId="3" xfId="0" applyFont="1" applyFill="1" applyBorder="1" applyAlignment="1">
      <alignment horizontal="left" vertical="center"/>
    </xf>
    <xf numFmtId="0" fontId="6" fillId="6" borderId="3" xfId="0" applyFont="1" applyFill="1" applyBorder="1" applyAlignment="1">
      <alignment vertical="center" wrapText="1"/>
    </xf>
    <xf numFmtId="0" fontId="8" fillId="6" borderId="7" xfId="0" applyFont="1" applyFill="1" applyBorder="1" applyAlignment="1">
      <alignment vertical="center"/>
    </xf>
    <xf numFmtId="167" fontId="8" fillId="6" borderId="8" xfId="0" applyNumberFormat="1" applyFont="1" applyFill="1" applyBorder="1" applyAlignment="1">
      <alignment horizontal="right" vertical="center"/>
    </xf>
    <xf numFmtId="0" fontId="8" fillId="6" borderId="15" xfId="0" applyFont="1" applyFill="1" applyBorder="1" applyAlignment="1">
      <alignment vertical="center" wrapText="1"/>
    </xf>
    <xf numFmtId="0" fontId="16" fillId="6" borderId="0" xfId="0" applyFont="1" applyFill="1" applyAlignment="1" applyProtection="1">
      <alignment vertical="top" wrapText="1"/>
      <protection locked="0"/>
    </xf>
    <xf numFmtId="3" fontId="8" fillId="6" borderId="3" xfId="0" applyNumberFormat="1" applyFont="1" applyFill="1" applyBorder="1" applyAlignment="1">
      <alignment horizontal="right" vertical="center"/>
    </xf>
    <xf numFmtId="3" fontId="8" fillId="6" borderId="6" xfId="0" applyNumberFormat="1" applyFont="1" applyFill="1" applyBorder="1" applyAlignment="1">
      <alignment horizontal="right" vertical="center"/>
    </xf>
    <xf numFmtId="3" fontId="8" fillId="6" borderId="13" xfId="0" applyNumberFormat="1" applyFont="1" applyFill="1" applyBorder="1" applyAlignment="1">
      <alignment horizontal="right" vertical="center"/>
    </xf>
    <xf numFmtId="167" fontId="13" fillId="6" borderId="3" xfId="0" applyNumberFormat="1" applyFont="1" applyFill="1" applyBorder="1" applyAlignment="1">
      <alignment horizontal="right" vertical="top"/>
    </xf>
    <xf numFmtId="167" fontId="13" fillId="6" borderId="13" xfId="0" applyNumberFormat="1" applyFont="1" applyFill="1" applyBorder="1" applyAlignment="1">
      <alignment horizontal="right" vertical="top"/>
    </xf>
    <xf numFmtId="167" fontId="6" fillId="6" borderId="3" xfId="0" applyNumberFormat="1" applyFont="1" applyFill="1" applyBorder="1" applyAlignment="1">
      <alignment horizontal="right" vertical="center"/>
    </xf>
    <xf numFmtId="167" fontId="6" fillId="6" borderId="3" xfId="0" applyNumberFormat="1" applyFont="1" applyFill="1" applyBorder="1" applyAlignment="1">
      <alignment vertical="center"/>
    </xf>
    <xf numFmtId="167" fontId="8" fillId="6" borderId="12" xfId="0" applyNumberFormat="1" applyFont="1" applyFill="1" applyBorder="1" applyAlignment="1">
      <alignment horizontal="right" vertical="center"/>
    </xf>
    <xf numFmtId="167" fontId="8" fillId="6" borderId="15" xfId="0" applyNumberFormat="1" applyFont="1" applyFill="1" applyBorder="1" applyAlignment="1">
      <alignment horizontal="right" vertical="center"/>
    </xf>
    <xf numFmtId="0" fontId="11" fillId="6" borderId="6" xfId="0" applyFont="1" applyFill="1" applyBorder="1" applyAlignment="1">
      <alignment horizontal="center"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0" fontId="6" fillId="0" borderId="0" xfId="0" applyFont="1" applyAlignment="1">
      <alignment horizontal="left" vertical="center" wrapText="1"/>
    </xf>
    <xf numFmtId="0" fontId="8" fillId="6" borderId="31" xfId="0" applyFont="1" applyFill="1" applyBorder="1" applyAlignment="1">
      <alignment vertical="center"/>
    </xf>
    <xf numFmtId="0" fontId="8" fillId="6" borderId="31" xfId="0" applyFont="1" applyFill="1" applyBorder="1" applyAlignment="1">
      <alignment horizontal="center" vertical="center"/>
    </xf>
    <xf numFmtId="3" fontId="8" fillId="6" borderId="31" xfId="0" applyNumberFormat="1" applyFont="1" applyFill="1" applyBorder="1" applyAlignment="1">
      <alignment horizontal="right" vertical="center"/>
    </xf>
    <xf numFmtId="0" fontId="8" fillId="6" borderId="3" xfId="0" applyFont="1" applyFill="1" applyBorder="1" applyAlignment="1">
      <alignment horizontal="left" vertical="top"/>
    </xf>
    <xf numFmtId="0" fontId="8" fillId="0" borderId="27" xfId="0" applyFont="1" applyBorder="1" applyAlignment="1">
      <alignment horizontal="left" vertical="center" wrapText="1"/>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6" borderId="3" xfId="0" applyFont="1" applyFill="1" applyBorder="1" applyAlignment="1">
      <alignment horizontal="left" vertical="center"/>
    </xf>
    <xf numFmtId="0" fontId="22" fillId="6" borderId="15" xfId="0" applyFont="1" applyFill="1" applyBorder="1" applyAlignment="1">
      <alignment horizontal="left" vertical="center"/>
    </xf>
    <xf numFmtId="0" fontId="6" fillId="6" borderId="15" xfId="0" applyFont="1" applyFill="1" applyBorder="1" applyAlignment="1">
      <alignment vertical="center" wrapText="1"/>
    </xf>
    <xf numFmtId="1" fontId="6" fillId="6" borderId="15" xfId="0" applyNumberFormat="1" applyFont="1" applyFill="1" applyBorder="1" applyAlignment="1">
      <alignment vertical="center"/>
    </xf>
    <xf numFmtId="0" fontId="46" fillId="6" borderId="3" xfId="0" applyFont="1" applyFill="1" applyBorder="1" applyAlignment="1">
      <alignment horizontal="left" vertical="center"/>
    </xf>
    <xf numFmtId="167" fontId="8" fillId="6" borderId="3" xfId="0" applyNumberFormat="1" applyFont="1" applyFill="1" applyBorder="1" applyAlignment="1">
      <alignment horizontal="right" vertical="center"/>
    </xf>
    <xf numFmtId="167" fontId="8" fillId="6" borderId="3" xfId="0" applyNumberFormat="1" applyFont="1" applyFill="1" applyBorder="1" applyAlignment="1">
      <alignment vertical="center"/>
    </xf>
    <xf numFmtId="167" fontId="6" fillId="6" borderId="15" xfId="0" applyNumberFormat="1" applyFont="1" applyFill="1" applyBorder="1" applyAlignment="1">
      <alignment horizontal="right" vertical="top"/>
    </xf>
    <xf numFmtId="167" fontId="8" fillId="6" borderId="15" xfId="0" applyNumberFormat="1" applyFont="1" applyFill="1" applyBorder="1" applyAlignment="1">
      <alignmen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5" fontId="22" fillId="0" borderId="0" xfId="0" applyNumberFormat="1" applyFont="1" applyAlignment="1">
      <alignment horizontal="right" vertical="center"/>
    </xf>
    <xf numFmtId="0" fontId="14" fillId="6" borderId="34" xfId="0" applyFont="1" applyFill="1" applyBorder="1" applyAlignment="1">
      <alignment horizontal="left" vertical="top"/>
    </xf>
    <xf numFmtId="0" fontId="8" fillId="6" borderId="20" xfId="0" applyFont="1" applyFill="1" applyBorder="1" applyAlignment="1">
      <alignment vertical="center" wrapText="1"/>
    </xf>
    <xf numFmtId="0" fontId="8" fillId="6"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0" fontId="2" fillId="0" borderId="25" xfId="0" applyFont="1" applyBorder="1" applyAlignment="1">
      <alignment horizontal="left" vertical="top"/>
    </xf>
    <xf numFmtId="0" fontId="4" fillId="6" borderId="4" xfId="0" applyFont="1" applyFill="1" applyBorder="1" applyAlignment="1">
      <alignment vertical="top"/>
    </xf>
    <xf numFmtId="0" fontId="4" fillId="6" borderId="25" xfId="0" applyFont="1" applyFill="1" applyBorder="1" applyAlignment="1">
      <alignment vertical="top"/>
    </xf>
    <xf numFmtId="0" fontId="2" fillId="6" borderId="25" xfId="0" applyFont="1" applyFill="1" applyBorder="1" applyAlignment="1">
      <alignment vertical="top"/>
    </xf>
    <xf numFmtId="0" fontId="2" fillId="6" borderId="5" xfId="0" applyFont="1" applyFill="1" applyBorder="1" applyAlignment="1">
      <alignment vertical="top"/>
    </xf>
    <xf numFmtId="0" fontId="3" fillId="0" borderId="25" xfId="0" applyFont="1" applyBorder="1" applyAlignment="1">
      <alignment vertical="top"/>
    </xf>
    <xf numFmtId="0" fontId="3" fillId="0" borderId="29" xfId="0" applyFont="1" applyBorder="1" applyAlignment="1">
      <alignment vertical="top"/>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0" fontId="2" fillId="6" borderId="14" xfId="0" applyFont="1" applyFill="1" applyBorder="1" applyAlignment="1">
      <alignment horizontal="left" vertical="top"/>
    </xf>
    <xf numFmtId="0" fontId="2" fillId="6"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0" fontId="4" fillId="0" borderId="15" xfId="0" applyFont="1" applyBorder="1" applyAlignment="1">
      <alignment vertical="center"/>
    </xf>
    <xf numFmtId="0" fontId="4" fillId="6" borderId="3" xfId="0" applyFont="1" applyFill="1" applyBorder="1" applyAlignment="1">
      <alignment horizontal="left" vertical="center"/>
    </xf>
    <xf numFmtId="0" fontId="11" fillId="6" borderId="11" xfId="0" applyFont="1" applyFill="1" applyBorder="1" applyAlignment="1">
      <alignment horizontal="center" vertical="center" wrapText="1"/>
    </xf>
    <xf numFmtId="2" fontId="11" fillId="6" borderId="12" xfId="0" applyNumberFormat="1" applyFont="1" applyFill="1" applyBorder="1" applyAlignment="1">
      <alignment horizontal="right" vertical="center" wrapText="1"/>
    </xf>
    <xf numFmtId="0" fontId="6" fillId="6" borderId="13" xfId="0" applyFont="1" applyFill="1" applyBorder="1" applyAlignment="1">
      <alignment horizontal="right" vertical="center" wrapText="1"/>
    </xf>
    <xf numFmtId="0" fontId="6" fillId="6" borderId="13" xfId="0" applyFont="1" applyFill="1" applyBorder="1" applyAlignment="1">
      <alignment horizontal="right" vertical="center"/>
    </xf>
    <xf numFmtId="0" fontId="2" fillId="6" borderId="13" xfId="0" applyFont="1" applyFill="1" applyBorder="1" applyAlignment="1">
      <alignment horizontal="left" vertical="center"/>
    </xf>
    <xf numFmtId="0" fontId="2" fillId="6"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6" borderId="3" xfId="0" applyFont="1" applyFill="1" applyBorder="1" applyAlignment="1">
      <alignment horizontal="left" vertical="center"/>
    </xf>
    <xf numFmtId="2" fontId="6" fillId="6" borderId="3" xfId="0" applyNumberFormat="1" applyFont="1" applyFill="1" applyBorder="1" applyAlignment="1">
      <alignment horizontal="right" vertical="center"/>
    </xf>
    <xf numFmtId="0" fontId="11" fillId="0" borderId="7" xfId="0" applyFont="1" applyBorder="1" applyAlignment="1">
      <alignment vertical="center"/>
    </xf>
    <xf numFmtId="0" fontId="11" fillId="6" borderId="35" xfId="0" applyFont="1" applyFill="1" applyBorder="1" applyAlignment="1">
      <alignment horizontal="right" vertical="center" wrapText="1"/>
    </xf>
    <xf numFmtId="167" fontId="2" fillId="0" borderId="0" xfId="0" applyNumberFormat="1" applyFont="1" applyAlignment="1">
      <alignment horizontal="left" vertical="top"/>
    </xf>
    <xf numFmtId="167" fontId="52" fillId="8"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0" fillId="0" borderId="15" xfId="0" applyBorder="1" applyAlignment="1">
      <alignment horizontal="left" vertical="center" wrapText="1"/>
    </xf>
    <xf numFmtId="0" fontId="0" fillId="0" borderId="13" xfId="0" applyBorder="1" applyAlignment="1">
      <alignment horizontal="left" vertical="center" wrapText="1"/>
    </xf>
    <xf numFmtId="0" fontId="53" fillId="0" borderId="0" xfId="0" applyFont="1" applyAlignment="1">
      <alignment horizontal="right" vertical="center" wrapText="1"/>
    </xf>
    <xf numFmtId="0" fontId="0" fillId="0" borderId="0" xfId="0" applyAlignment="1">
      <alignment horizontal="center" vertical="center" wrapText="1"/>
    </xf>
    <xf numFmtId="0" fontId="0" fillId="0" borderId="3" xfId="0" applyBorder="1" applyAlignment="1">
      <alignment vertical="center" wrapText="1"/>
    </xf>
    <xf numFmtId="0" fontId="16" fillId="6" borderId="0" xfId="0" applyFont="1" applyFill="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4" fillId="0" borderId="32" xfId="0" applyFont="1" applyBorder="1" applyAlignment="1">
      <alignment horizontal="left" vertical="center" wrapText="1"/>
    </xf>
    <xf numFmtId="0" fontId="55"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6" fillId="0" borderId="0" xfId="0" applyFont="1"/>
    <xf numFmtId="10" fontId="0" fillId="9" borderId="3" xfId="1" applyNumberFormat="1" applyFont="1" applyFill="1" applyBorder="1" applyAlignment="1">
      <alignment horizontal="center" vertical="center" wrapText="1"/>
    </xf>
    <xf numFmtId="0" fontId="23" fillId="0" borderId="0" xfId="0" applyFont="1" applyAlignment="1">
      <alignment vertical="center"/>
    </xf>
    <xf numFmtId="0" fontId="30" fillId="0" borderId="0" xfId="0" applyFont="1" applyAlignment="1">
      <alignment horizontal="left" vertical="center" wrapText="1"/>
    </xf>
    <xf numFmtId="0" fontId="51" fillId="0" borderId="0" xfId="0" applyFont="1" applyAlignment="1">
      <alignment horizontal="left" vertical="center"/>
    </xf>
    <xf numFmtId="0" fontId="30" fillId="0" borderId="0" xfId="0" applyFont="1" applyAlignment="1">
      <alignment horizontal="left" vertical="top" wrapText="1"/>
    </xf>
    <xf numFmtId="0" fontId="30" fillId="0" borderId="0" xfId="0" applyFont="1" applyAlignment="1">
      <alignment vertical="top" wrapText="1"/>
    </xf>
    <xf numFmtId="0" fontId="51" fillId="0" borderId="0" xfId="0" applyFont="1" applyAlignment="1">
      <alignment horizontal="left" vertical="top" wrapText="1"/>
    </xf>
    <xf numFmtId="0" fontId="33" fillId="0" borderId="0" xfId="0" applyFont="1" applyAlignment="1">
      <alignment vertical="top"/>
    </xf>
    <xf numFmtId="0" fontId="30" fillId="0" borderId="0" xfId="0" applyFont="1" applyAlignment="1">
      <alignment horizontal="left" vertical="top"/>
    </xf>
    <xf numFmtId="0" fontId="43" fillId="0" borderId="0" xfId="0" applyFont="1" applyAlignment="1">
      <alignment horizontal="left" vertical="top"/>
    </xf>
    <xf numFmtId="0" fontId="33" fillId="0" borderId="0" xfId="0" applyFont="1" applyAlignment="1">
      <alignment vertical="center"/>
    </xf>
    <xf numFmtId="0" fontId="43" fillId="0" borderId="0" xfId="0" applyFont="1" applyAlignment="1">
      <alignment horizontal="left" vertical="center"/>
    </xf>
    <xf numFmtId="2" fontId="30" fillId="0" borderId="0" xfId="0" applyNumberFormat="1" applyFont="1" applyAlignment="1">
      <alignment horizontal="left" vertical="center"/>
    </xf>
    <xf numFmtId="0" fontId="6" fillId="0" borderId="0" xfId="0" applyFont="1" applyAlignment="1">
      <alignment vertical="top"/>
    </xf>
    <xf numFmtId="167" fontId="6" fillId="0" borderId="0" xfId="0" applyNumberFormat="1" applyFont="1" applyAlignment="1">
      <alignment vertical="top"/>
    </xf>
    <xf numFmtId="0" fontId="6" fillId="0" borderId="0" xfId="0" applyFont="1" applyAlignment="1">
      <alignment vertical="center"/>
    </xf>
    <xf numFmtId="0" fontId="8" fillId="0" borderId="0" xfId="0" applyFont="1" applyAlignment="1" applyProtection="1">
      <alignment vertical="top"/>
      <protection locked="0"/>
    </xf>
    <xf numFmtId="0" fontId="6" fillId="0" borderId="0" xfId="0" applyFont="1" applyAlignment="1" applyProtection="1">
      <alignment vertical="top"/>
      <protection locked="0"/>
    </xf>
    <xf numFmtId="0" fontId="32" fillId="3" borderId="3" xfId="0" applyFont="1" applyFill="1" applyBorder="1" applyAlignment="1" applyProtection="1">
      <alignment vertical="center" wrapText="1"/>
      <protection locked="0"/>
    </xf>
    <xf numFmtId="4" fontId="6" fillId="3" borderId="3" xfId="0" applyNumberFormat="1" applyFont="1" applyFill="1" applyBorder="1" applyAlignment="1" applyProtection="1">
      <alignment horizontal="center" vertical="center"/>
      <protection locked="0"/>
    </xf>
    <xf numFmtId="2" fontId="6" fillId="3" borderId="3" xfId="0" applyNumberFormat="1" applyFont="1" applyFill="1" applyBorder="1" applyAlignment="1" applyProtection="1">
      <alignment vertical="center"/>
      <protection locked="0"/>
    </xf>
    <xf numFmtId="14" fontId="0" fillId="10" borderId="1" xfId="0" applyNumberFormat="1" applyFill="1" applyBorder="1" applyAlignment="1" applyProtection="1">
      <alignment horizontal="center" vertical="center" wrapText="1"/>
      <protection locked="0"/>
    </xf>
    <xf numFmtId="2" fontId="27" fillId="10" borderId="0" xfId="0" applyNumberFormat="1" applyFont="1" applyFill="1" applyAlignment="1" applyProtection="1">
      <alignment horizontal="center" vertical="center" wrapText="1"/>
      <protection locked="0"/>
    </xf>
    <xf numFmtId="164" fontId="0" fillId="10" borderId="3" xfId="0" applyNumberFormat="1" applyFill="1" applyBorder="1" applyAlignment="1" applyProtection="1">
      <alignment horizontal="center" vertical="center" wrapText="1"/>
      <protection locked="0"/>
    </xf>
    <xf numFmtId="0" fontId="0" fillId="10" borderId="15" xfId="0" applyFill="1" applyBorder="1" applyAlignment="1" applyProtection="1">
      <alignment horizontal="center" vertical="center" wrapText="1"/>
      <protection locked="0"/>
    </xf>
    <xf numFmtId="0" fontId="0" fillId="10" borderId="3" xfId="0" applyFill="1" applyBorder="1" applyAlignment="1" applyProtection="1">
      <alignment horizontal="center" vertical="center" wrapText="1"/>
      <protection locked="0"/>
    </xf>
    <xf numFmtId="0" fontId="0" fillId="10" borderId="15" xfId="0" applyFill="1" applyBorder="1" applyAlignment="1" applyProtection="1">
      <alignment horizontal="left" vertical="center" wrapText="1"/>
      <protection locked="0"/>
    </xf>
    <xf numFmtId="0" fontId="0" fillId="10" borderId="3" xfId="0" applyFill="1" applyBorder="1" applyAlignment="1" applyProtection="1">
      <alignment horizontal="left" vertical="center" wrapText="1"/>
      <protection locked="0"/>
    </xf>
    <xf numFmtId="0" fontId="0" fillId="10" borderId="13"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7" xfId="0" applyFill="1" applyBorder="1" applyAlignment="1" applyProtection="1">
      <alignment horizontal="left" vertical="center" wrapText="1"/>
      <protection locked="0"/>
    </xf>
    <xf numFmtId="0" fontId="0" fillId="10" borderId="14" xfId="0" applyFill="1" applyBorder="1" applyAlignment="1" applyProtection="1">
      <alignment horizontal="left" vertical="center" wrapText="1"/>
      <protection locked="0"/>
    </xf>
    <xf numFmtId="3" fontId="6" fillId="10" borderId="3" xfId="0" applyNumberFormat="1" applyFont="1" applyFill="1" applyBorder="1" applyAlignment="1" applyProtection="1">
      <alignment horizontal="right" vertical="center"/>
      <protection locked="0"/>
    </xf>
    <xf numFmtId="4" fontId="6" fillId="10" borderId="3" xfId="0" applyNumberFormat="1" applyFont="1" applyFill="1" applyBorder="1" applyAlignment="1" applyProtection="1">
      <alignment horizontal="right" vertical="center"/>
      <protection locked="0"/>
    </xf>
    <xf numFmtId="2" fontId="6" fillId="10" borderId="3" xfId="0" applyNumberFormat="1" applyFont="1" applyFill="1" applyBorder="1" applyAlignment="1" applyProtection="1">
      <alignment horizontal="right" vertical="center" wrapText="1" indent="1"/>
      <protection locked="0"/>
    </xf>
    <xf numFmtId="10" fontId="6" fillId="10" borderId="3" xfId="1" applyNumberFormat="1" applyFont="1" applyFill="1" applyBorder="1" applyAlignment="1" applyProtection="1">
      <alignment horizontal="center" vertical="center"/>
      <protection locked="0"/>
    </xf>
    <xf numFmtId="14" fontId="6" fillId="10" borderId="3" xfId="0" applyNumberFormat="1" applyFont="1" applyFill="1" applyBorder="1" applyAlignment="1" applyProtection="1">
      <alignment horizontal="center" vertical="top"/>
      <protection locked="0"/>
    </xf>
    <xf numFmtId="164" fontId="6" fillId="10" borderId="15" xfId="0" applyNumberFormat="1" applyFont="1" applyFill="1" applyBorder="1" applyAlignment="1" applyProtection="1">
      <alignment horizontal="center" vertical="center"/>
      <protection locked="0"/>
    </xf>
    <xf numFmtId="2" fontId="6" fillId="10" borderId="3" xfId="0" applyNumberFormat="1" applyFont="1" applyFill="1" applyBorder="1" applyAlignment="1" applyProtection="1">
      <alignment horizontal="right" vertical="center"/>
      <protection locked="0"/>
    </xf>
    <xf numFmtId="167" fontId="6" fillId="10" borderId="3" xfId="0" applyNumberFormat="1" applyFont="1" applyFill="1" applyBorder="1" applyAlignment="1" applyProtection="1">
      <alignment horizontal="right" vertical="top"/>
      <protection locked="0"/>
    </xf>
    <xf numFmtId="0" fontId="6" fillId="10" borderId="9" xfId="0" applyFont="1" applyFill="1" applyBorder="1" applyAlignment="1" applyProtection="1">
      <alignment horizontal="left" vertical="center" wrapText="1"/>
      <protection locked="0"/>
    </xf>
    <xf numFmtId="3" fontId="6" fillId="10" borderId="9" xfId="0" applyNumberFormat="1" applyFont="1" applyFill="1" applyBorder="1" applyAlignment="1" applyProtection="1">
      <alignment horizontal="right" vertical="center"/>
      <protection locked="0"/>
    </xf>
    <xf numFmtId="167" fontId="6" fillId="10" borderId="9" xfId="0" applyNumberFormat="1" applyFont="1" applyFill="1" applyBorder="1" applyAlignment="1" applyProtection="1">
      <alignment horizontal="right" vertical="center"/>
      <protection locked="0"/>
    </xf>
    <xf numFmtId="3" fontId="6" fillId="10" borderId="6" xfId="0" applyNumberFormat="1" applyFont="1" applyFill="1" applyBorder="1" applyAlignment="1" applyProtection="1">
      <alignment horizontal="right" vertical="center"/>
      <protection locked="0"/>
    </xf>
    <xf numFmtId="14" fontId="6" fillId="10" borderId="15" xfId="0" applyNumberFormat="1" applyFont="1" applyFill="1" applyBorder="1" applyAlignment="1" applyProtection="1">
      <alignment horizontal="center" vertical="center"/>
      <protection locked="0"/>
    </xf>
    <xf numFmtId="167" fontId="6" fillId="10" borderId="15" xfId="0" applyNumberFormat="1" applyFont="1" applyFill="1" applyBorder="1" applyAlignment="1" applyProtection="1">
      <alignment vertical="center"/>
      <protection locked="0"/>
    </xf>
    <xf numFmtId="10" fontId="6" fillId="10" borderId="15" xfId="1" applyNumberFormat="1" applyFont="1" applyFill="1" applyBorder="1" applyAlignment="1" applyProtection="1">
      <alignment horizontal="center" vertical="center"/>
      <protection locked="0"/>
    </xf>
    <xf numFmtId="14" fontId="6" fillId="10" borderId="3" xfId="0" applyNumberFormat="1" applyFont="1" applyFill="1" applyBorder="1" applyAlignment="1" applyProtection="1">
      <alignment horizontal="center" vertical="center"/>
      <protection locked="0"/>
    </xf>
    <xf numFmtId="167" fontId="6" fillId="10" borderId="3" xfId="1" applyNumberFormat="1" applyFont="1" applyFill="1" applyBorder="1" applyAlignment="1" applyProtection="1">
      <alignment vertical="center"/>
      <protection locked="0"/>
    </xf>
    <xf numFmtId="167" fontId="6" fillId="10" borderId="3" xfId="0" applyNumberFormat="1" applyFont="1" applyFill="1" applyBorder="1" applyAlignment="1" applyProtection="1">
      <alignment vertical="center"/>
      <protection locked="0"/>
    </xf>
    <xf numFmtId="14" fontId="6" fillId="10" borderId="13" xfId="0" applyNumberFormat="1" applyFont="1" applyFill="1" applyBorder="1" applyAlignment="1" applyProtection="1">
      <alignment horizontal="center" vertical="center"/>
      <protection locked="0"/>
    </xf>
    <xf numFmtId="167" fontId="6" fillId="10" borderId="13" xfId="1" applyNumberFormat="1" applyFont="1" applyFill="1" applyBorder="1" applyAlignment="1" applyProtection="1">
      <alignment vertical="center"/>
      <protection locked="0"/>
    </xf>
    <xf numFmtId="10" fontId="6" fillId="10" borderId="13" xfId="1" applyNumberFormat="1" applyFont="1" applyFill="1" applyBorder="1" applyAlignment="1" applyProtection="1">
      <alignment horizontal="center" vertical="center"/>
      <protection locked="0"/>
    </xf>
    <xf numFmtId="167" fontId="6" fillId="10" borderId="13" xfId="0" applyNumberFormat="1" applyFont="1" applyFill="1" applyBorder="1" applyAlignment="1" applyProtection="1">
      <alignment vertical="center"/>
      <protection locked="0"/>
    </xf>
    <xf numFmtId="167" fontId="6" fillId="10" borderId="3" xfId="0" applyNumberFormat="1" applyFont="1" applyFill="1" applyBorder="1" applyAlignment="1" applyProtection="1">
      <alignment horizontal="right" vertical="center"/>
      <protection locked="0"/>
    </xf>
    <xf numFmtId="167" fontId="6" fillId="10" borderId="13" xfId="0" applyNumberFormat="1" applyFont="1" applyFill="1" applyBorder="1" applyAlignment="1" applyProtection="1">
      <alignment horizontal="right" vertical="center"/>
      <protection locked="0"/>
    </xf>
    <xf numFmtId="167" fontId="6" fillId="10" borderId="32" xfId="0" applyNumberFormat="1" applyFont="1" applyFill="1" applyBorder="1" applyAlignment="1" applyProtection="1">
      <alignment horizontal="right" vertical="center"/>
      <protection locked="0"/>
    </xf>
    <xf numFmtId="167" fontId="6" fillId="10" borderId="31" xfId="0" applyNumberFormat="1" applyFont="1" applyFill="1" applyBorder="1" applyAlignment="1" applyProtection="1">
      <alignment horizontal="right" vertical="center"/>
      <protection locked="0"/>
    </xf>
    <xf numFmtId="167" fontId="6" fillId="10" borderId="15" xfId="0" applyNumberFormat="1" applyFont="1" applyFill="1" applyBorder="1" applyAlignment="1" applyProtection="1">
      <alignment horizontal="right" vertical="center"/>
      <protection locked="0"/>
    </xf>
    <xf numFmtId="167" fontId="8" fillId="10" borderId="3" xfId="0" applyNumberFormat="1" applyFont="1" applyFill="1" applyBorder="1" applyAlignment="1" applyProtection="1">
      <alignment vertical="center"/>
      <protection locked="0"/>
    </xf>
    <xf numFmtId="167" fontId="8" fillId="10" borderId="3" xfId="0" applyNumberFormat="1" applyFont="1" applyFill="1" applyBorder="1" applyAlignment="1" applyProtection="1">
      <alignment horizontal="right" vertical="center"/>
      <protection locked="0"/>
    </xf>
    <xf numFmtId="10" fontId="6" fillId="10" borderId="3" xfId="1" applyNumberFormat="1" applyFont="1" applyFill="1" applyBorder="1" applyAlignment="1">
      <alignment horizontal="right" vertical="center"/>
    </xf>
    <xf numFmtId="10" fontId="6" fillId="10" borderId="3" xfId="1" applyNumberFormat="1" applyFont="1" applyFill="1" applyBorder="1" applyAlignment="1" applyProtection="1">
      <alignment horizontal="right" vertical="center"/>
      <protection locked="0"/>
    </xf>
    <xf numFmtId="0" fontId="3" fillId="10" borderId="18" xfId="0" applyFont="1" applyFill="1" applyBorder="1" applyAlignment="1" applyProtection="1">
      <alignment horizontal="center" vertical="center" wrapText="1"/>
      <protection locked="0"/>
    </xf>
    <xf numFmtId="10" fontId="3" fillId="10" borderId="18" xfId="1" applyNumberFormat="1" applyFont="1" applyFill="1" applyBorder="1" applyAlignment="1" applyProtection="1">
      <alignment horizontal="center" vertical="center" wrapText="1"/>
      <protection locked="0"/>
    </xf>
    <xf numFmtId="2" fontId="0" fillId="4" borderId="13" xfId="0" applyNumberFormat="1" applyFill="1" applyBorder="1" applyAlignment="1">
      <alignment horizontal="center" vertical="center"/>
    </xf>
    <xf numFmtId="0" fontId="30" fillId="4" borderId="0" xfId="0" applyFont="1" applyFill="1" applyAlignment="1">
      <alignment horizontal="left" vertical="center"/>
    </xf>
    <xf numFmtId="0" fontId="30" fillId="4" borderId="0" xfId="0" applyFont="1" applyFill="1" applyAlignment="1">
      <alignment vertical="center"/>
    </xf>
    <xf numFmtId="164" fontId="0" fillId="0" borderId="3" xfId="0" applyNumberFormat="1" applyBorder="1" applyAlignment="1" applyProtection="1">
      <alignment horizontal="center" vertical="center" wrapText="1"/>
      <protection locked="0"/>
    </xf>
    <xf numFmtId="1" fontId="6" fillId="4" borderId="13" xfId="0" applyNumberFormat="1" applyFont="1" applyFill="1" applyBorder="1" applyAlignment="1">
      <alignment horizontal="center" vertical="center"/>
    </xf>
    <xf numFmtId="0" fontId="0" fillId="4" borderId="3" xfId="0" applyFill="1" applyBorder="1" applyAlignment="1">
      <alignment horizontal="center" vertical="center" wrapText="1"/>
    </xf>
    <xf numFmtId="166" fontId="0" fillId="4" borderId="3" xfId="0" applyNumberFormat="1" applyFill="1" applyBorder="1" applyAlignment="1">
      <alignment horizontal="center" vertical="center" wrapText="1"/>
    </xf>
    <xf numFmtId="4" fontId="6" fillId="4" borderId="3" xfId="0" applyNumberFormat="1" applyFont="1" applyFill="1" applyBorder="1" applyAlignment="1">
      <alignment horizontal="right" vertical="center"/>
    </xf>
    <xf numFmtId="3" fontId="6" fillId="4" borderId="3" xfId="0" applyNumberFormat="1" applyFont="1" applyFill="1" applyBorder="1" applyAlignment="1">
      <alignment horizontal="right" vertical="center"/>
    </xf>
    <xf numFmtId="2" fontId="6" fillId="4" borderId="15" xfId="0" applyNumberFormat="1" applyFont="1" applyFill="1" applyBorder="1" applyAlignment="1">
      <alignment horizontal="right" vertical="top" wrapText="1" indent="1"/>
    </xf>
    <xf numFmtId="2" fontId="6" fillId="4" borderId="3" xfId="0" applyNumberFormat="1" applyFont="1" applyFill="1" applyBorder="1" applyAlignment="1">
      <alignment horizontal="right" vertical="top" wrapText="1" indent="1"/>
    </xf>
    <xf numFmtId="2" fontId="11" fillId="4" borderId="3" xfId="0" applyNumberFormat="1" applyFont="1" applyFill="1" applyBorder="1" applyAlignment="1">
      <alignment horizontal="right" vertical="top" indent="1"/>
    </xf>
    <xf numFmtId="2" fontId="6" fillId="4" borderId="3" xfId="0" applyNumberFormat="1" applyFont="1" applyFill="1" applyBorder="1" applyAlignment="1">
      <alignment horizontal="right" vertical="top" indent="1"/>
    </xf>
    <xf numFmtId="166" fontId="6" fillId="4" borderId="3" xfId="0" applyNumberFormat="1" applyFont="1" applyFill="1" applyBorder="1" applyAlignment="1">
      <alignment horizontal="right" vertical="top" wrapText="1" indent="1"/>
    </xf>
    <xf numFmtId="14" fontId="6" fillId="4" borderId="3" xfId="0" applyNumberFormat="1" applyFont="1" applyFill="1" applyBorder="1" applyAlignment="1">
      <alignment horizontal="center" vertical="center"/>
    </xf>
    <xf numFmtId="2" fontId="6" fillId="4" borderId="3" xfId="0" applyNumberFormat="1" applyFont="1" applyFill="1" applyBorder="1" applyAlignment="1">
      <alignment horizontal="right" vertical="center"/>
    </xf>
    <xf numFmtId="2" fontId="6" fillId="4" borderId="13" xfId="0" applyNumberFormat="1" applyFont="1" applyFill="1" applyBorder="1" applyAlignment="1">
      <alignment horizontal="right" vertical="center"/>
    </xf>
    <xf numFmtId="167" fontId="6" fillId="4" borderId="3" xfId="0" applyNumberFormat="1" applyFont="1" applyFill="1" applyBorder="1" applyAlignment="1">
      <alignment horizontal="right" vertical="top"/>
    </xf>
    <xf numFmtId="167" fontId="8" fillId="4" borderId="3" xfId="0" applyNumberFormat="1" applyFont="1" applyFill="1" applyBorder="1" applyAlignment="1">
      <alignment horizontal="right" vertical="top"/>
    </xf>
    <xf numFmtId="3" fontId="8" fillId="4" borderId="13" xfId="0" applyNumberFormat="1" applyFont="1" applyFill="1" applyBorder="1" applyAlignment="1">
      <alignment horizontal="right" vertical="center"/>
    </xf>
    <xf numFmtId="167" fontId="6" fillId="4" borderId="15" xfId="0" applyNumberFormat="1" applyFont="1" applyFill="1" applyBorder="1" applyAlignment="1">
      <alignment horizontal="right" vertical="center"/>
    </xf>
    <xf numFmtId="167" fontId="6" fillId="4" borderId="3" xfId="0" applyNumberFormat="1" applyFont="1" applyFill="1" applyBorder="1" applyAlignment="1">
      <alignment horizontal="right" vertical="center"/>
    </xf>
    <xf numFmtId="167" fontId="6" fillId="4" borderId="12" xfId="0" applyNumberFormat="1" applyFont="1" applyFill="1" applyBorder="1" applyAlignment="1">
      <alignment horizontal="right" vertical="center"/>
    </xf>
    <xf numFmtId="14" fontId="3" fillId="4" borderId="13" xfId="0" applyNumberFormat="1" applyFont="1" applyFill="1" applyBorder="1" applyAlignment="1">
      <alignment horizontal="center" vertical="center"/>
    </xf>
    <xf numFmtId="167" fontId="8" fillId="4" borderId="11" xfId="0" applyNumberFormat="1" applyFont="1" applyFill="1" applyBorder="1" applyAlignment="1">
      <alignment vertical="center"/>
    </xf>
    <xf numFmtId="167" fontId="6" fillId="4" borderId="3" xfId="0" applyNumberFormat="1" applyFont="1" applyFill="1" applyBorder="1" applyAlignment="1">
      <alignment vertical="center"/>
    </xf>
    <xf numFmtId="167" fontId="6" fillId="4" borderId="3" xfId="0" applyNumberFormat="1" applyFont="1" applyFill="1" applyBorder="1" applyAlignment="1">
      <alignment horizontal="left" vertical="center"/>
    </xf>
    <xf numFmtId="167" fontId="8" fillId="4" borderId="3" xfId="0" applyNumberFormat="1" applyFont="1" applyFill="1" applyBorder="1" applyAlignment="1">
      <alignment horizontal="right" vertical="center"/>
    </xf>
    <xf numFmtId="2" fontId="3" fillId="4" borderId="18" xfId="0" applyNumberFormat="1" applyFont="1" applyFill="1" applyBorder="1" applyAlignment="1">
      <alignment horizontal="center" vertical="center"/>
    </xf>
    <xf numFmtId="2" fontId="3" fillId="4" borderId="9" xfId="0" applyNumberFormat="1" applyFont="1" applyFill="1" applyBorder="1" applyAlignment="1">
      <alignment horizontal="center" vertical="center"/>
    </xf>
    <xf numFmtId="10" fontId="3" fillId="4" borderId="9" xfId="1" applyNumberFormat="1" applyFont="1" applyFill="1" applyBorder="1" applyAlignment="1" applyProtection="1">
      <alignment horizontal="center" vertical="center"/>
    </xf>
    <xf numFmtId="0" fontId="45" fillId="7" borderId="3" xfId="0" applyFont="1" applyFill="1" applyBorder="1" applyAlignment="1">
      <alignment vertical="top" wrapText="1"/>
    </xf>
    <xf numFmtId="0" fontId="30" fillId="10" borderId="3" xfId="0" applyFont="1" applyFill="1" applyBorder="1" applyAlignment="1">
      <alignment horizontal="left" vertical="top" wrapText="1"/>
    </xf>
    <xf numFmtId="0" fontId="30" fillId="3" borderId="3" xfId="0" applyFont="1" applyFill="1" applyBorder="1" applyAlignment="1">
      <alignment horizontal="left" vertical="top" wrapText="1"/>
    </xf>
    <xf numFmtId="0" fontId="30" fillId="4" borderId="3" xfId="0" applyFont="1" applyFill="1" applyBorder="1" applyAlignment="1">
      <alignment vertical="top" wrapText="1"/>
    </xf>
    <xf numFmtId="0" fontId="30" fillId="6" borderId="3" xfId="0" applyFont="1" applyFill="1" applyBorder="1" applyAlignment="1">
      <alignment horizontal="left" vertical="top" wrapText="1"/>
    </xf>
    <xf numFmtId="0" fontId="30" fillId="9" borderId="3" xfId="0" applyFont="1" applyFill="1" applyBorder="1" applyAlignment="1">
      <alignment vertical="top" wrapText="1"/>
    </xf>
    <xf numFmtId="0" fontId="35" fillId="5" borderId="3" xfId="0" applyFont="1" applyFill="1" applyBorder="1" applyAlignment="1">
      <alignment vertical="top" wrapText="1"/>
    </xf>
    <xf numFmtId="0" fontId="47" fillId="8" borderId="3" xfId="0" applyFont="1" applyFill="1" applyBorder="1" applyAlignment="1">
      <alignment vertical="top" wrapText="1"/>
    </xf>
    <xf numFmtId="0" fontId="0" fillId="0" borderId="0" xfId="0" applyAlignment="1">
      <alignment vertical="top"/>
    </xf>
    <xf numFmtId="0" fontId="44" fillId="0" borderId="0" xfId="0" applyFont="1" applyAlignment="1">
      <alignment vertical="top" wrapText="1"/>
    </xf>
    <xf numFmtId="0" fontId="44" fillId="0" borderId="0" xfId="0" quotePrefix="1" applyFont="1" applyAlignment="1">
      <alignment vertical="top" wrapText="1"/>
    </xf>
    <xf numFmtId="1" fontId="6" fillId="9" borderId="13" xfId="0" applyNumberFormat="1" applyFont="1" applyFill="1" applyBorder="1" applyAlignment="1">
      <alignment horizontal="center" vertical="center"/>
    </xf>
    <xf numFmtId="0" fontId="0" fillId="9" borderId="15" xfId="0" applyFill="1" applyBorder="1" applyAlignment="1" applyProtection="1">
      <alignment horizontal="center" vertical="center" wrapText="1"/>
      <protection locked="0"/>
    </xf>
    <xf numFmtId="0" fontId="0" fillId="9" borderId="3" xfId="0" applyFill="1" applyBorder="1" applyAlignment="1" applyProtection="1">
      <alignment horizontal="center" vertical="center" wrapText="1"/>
      <protection locked="0"/>
    </xf>
    <xf numFmtId="0" fontId="8" fillId="6" borderId="15" xfId="0" applyFont="1" applyFill="1" applyBorder="1" applyAlignment="1">
      <alignment horizontal="left" vertical="top"/>
    </xf>
    <xf numFmtId="0" fontId="6" fillId="0" borderId="3" xfId="0" applyFont="1" applyBorder="1" applyAlignment="1">
      <alignment horizontal="left" vertical="top" wrapText="1" indent="1"/>
    </xf>
    <xf numFmtId="0" fontId="8" fillId="0" borderId="3" xfId="0" applyFont="1" applyBorder="1" applyAlignment="1">
      <alignment horizontal="left" vertical="top" wrapText="1" indent="1"/>
    </xf>
    <xf numFmtId="0" fontId="8" fillId="6" borderId="3" xfId="0" applyFont="1" applyFill="1" applyBorder="1" applyAlignment="1">
      <alignment horizontal="left" vertical="top" wrapTex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8" fillId="0" borderId="13" xfId="0" applyFont="1" applyBorder="1" applyAlignment="1">
      <alignment horizontal="left" vertical="top" indent="1"/>
    </xf>
    <xf numFmtId="0" fontId="14" fillId="6" borderId="22" xfId="0" applyFont="1" applyFill="1" applyBorder="1" applyAlignment="1">
      <alignment horizontal="left" vertical="top"/>
    </xf>
    <xf numFmtId="0" fontId="13" fillId="6" borderId="3" xfId="0" applyFont="1" applyFill="1" applyBorder="1" applyAlignment="1">
      <alignment horizontal="left" vertical="top" indent="1"/>
    </xf>
    <xf numFmtId="0" fontId="14" fillId="6" borderId="13" xfId="0" applyFont="1" applyFill="1" applyBorder="1" applyAlignment="1">
      <alignment horizontal="left" vertical="top" indent="1"/>
    </xf>
    <xf numFmtId="0" fontId="8" fillId="6" borderId="8" xfId="0" applyFont="1" applyFill="1" applyBorder="1" applyAlignment="1">
      <alignment vertical="center"/>
    </xf>
    <xf numFmtId="49" fontId="49" fillId="0" borderId="3" xfId="0" applyNumberFormat="1" applyFont="1" applyBorder="1" applyAlignment="1">
      <alignment horizontal="left" vertical="center"/>
    </xf>
    <xf numFmtId="0" fontId="33" fillId="9" borderId="7" xfId="0" applyFont="1" applyFill="1" applyBorder="1" applyAlignment="1">
      <alignment horizontal="center" vertical="center" wrapText="1"/>
    </xf>
    <xf numFmtId="0" fontId="30" fillId="9" borderId="9" xfId="0" applyFont="1" applyFill="1" applyBorder="1" applyAlignment="1">
      <alignment horizontal="center" vertical="center" wrapText="1"/>
    </xf>
    <xf numFmtId="0" fontId="23" fillId="6" borderId="0" xfId="0" applyFont="1" applyFill="1" applyAlignment="1">
      <alignment horizontal="center" vertical="center"/>
    </xf>
    <xf numFmtId="0" fontId="32" fillId="3" borderId="3" xfId="0" applyFont="1" applyFill="1" applyBorder="1" applyAlignment="1" applyProtection="1">
      <alignment horizontal="left" vertical="center" wrapText="1"/>
      <protection locked="0"/>
    </xf>
    <xf numFmtId="0" fontId="23" fillId="6"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3" borderId="7" xfId="0" applyFont="1" applyFill="1" applyBorder="1" applyAlignment="1" applyProtection="1">
      <alignment horizontal="left" vertical="center"/>
      <protection locked="0"/>
    </xf>
    <xf numFmtId="0" fontId="32" fillId="3" borderId="8" xfId="0" applyFont="1" applyFill="1" applyBorder="1" applyAlignment="1" applyProtection="1">
      <alignment horizontal="left" vertical="center"/>
      <protection locked="0"/>
    </xf>
    <xf numFmtId="0" fontId="32" fillId="3" borderId="9" xfId="0" applyFont="1" applyFill="1" applyBorder="1" applyAlignment="1" applyProtection="1">
      <alignment horizontal="left" vertical="center"/>
      <protection locked="0"/>
    </xf>
    <xf numFmtId="0" fontId="29" fillId="10" borderId="1" xfId="0" applyFont="1" applyFill="1" applyBorder="1" applyAlignment="1" applyProtection="1">
      <alignment horizontal="center" wrapText="1"/>
      <protection locked="0"/>
    </xf>
    <xf numFmtId="0" fontId="26" fillId="6" borderId="3" xfId="0" applyFont="1" applyFill="1" applyBorder="1" applyAlignment="1">
      <alignment horizontal="left" vertical="top" wrapText="1"/>
    </xf>
    <xf numFmtId="0" fontId="23" fillId="6" borderId="3" xfId="0" applyFont="1" applyFill="1" applyBorder="1" applyAlignment="1">
      <alignment horizontal="left" vertical="top" wrapText="1"/>
    </xf>
    <xf numFmtId="0" fontId="37" fillId="10" borderId="1" xfId="0" applyFont="1" applyFill="1" applyBorder="1" applyAlignment="1" applyProtection="1">
      <alignment horizont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30" fillId="10" borderId="3" xfId="0" applyFont="1" applyFill="1" applyBorder="1" applyAlignment="1" applyProtection="1">
      <alignment horizontal="left" vertical="top" wrapText="1"/>
      <protection locked="0"/>
    </xf>
    <xf numFmtId="0" fontId="23" fillId="6" borderId="4" xfId="0" applyFont="1" applyFill="1" applyBorder="1" applyAlignment="1">
      <alignment horizontal="left" vertical="center" wrapText="1"/>
    </xf>
    <xf numFmtId="0" fontId="23" fillId="6" borderId="25" xfId="0" applyFont="1" applyFill="1" applyBorder="1" applyAlignment="1">
      <alignment horizontal="left" vertical="center" wrapText="1"/>
    </xf>
    <xf numFmtId="0" fontId="30" fillId="10" borderId="10" xfId="0" applyFont="1" applyFill="1" applyBorder="1" applyAlignment="1" applyProtection="1">
      <alignment horizontal="center" vertical="top" wrapText="1"/>
      <protection locked="0"/>
    </xf>
    <xf numFmtId="0" fontId="30" fillId="10" borderId="29" xfId="0" applyFont="1" applyFill="1" applyBorder="1" applyAlignment="1" applyProtection="1">
      <alignment horizontal="center" vertical="top" wrapText="1"/>
      <protection locked="0"/>
    </xf>
    <xf numFmtId="0" fontId="30" fillId="10"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23" fillId="6" borderId="7" xfId="0" applyFont="1" applyFill="1" applyBorder="1" applyAlignment="1">
      <alignment horizontal="left" vertical="top" wrapText="1"/>
    </xf>
    <xf numFmtId="0" fontId="23" fillId="6" borderId="8" xfId="0" applyFont="1" applyFill="1" applyBorder="1" applyAlignment="1">
      <alignment horizontal="left" vertical="top" wrapText="1"/>
    </xf>
    <xf numFmtId="0" fontId="23" fillId="6" borderId="9" xfId="0" applyFont="1" applyFill="1" applyBorder="1" applyAlignment="1">
      <alignment horizontal="left" vertical="top" wrapText="1"/>
    </xf>
    <xf numFmtId="0" fontId="0" fillId="10" borderId="7" xfId="0" applyFill="1" applyBorder="1" applyAlignment="1" applyProtection="1">
      <alignment horizontal="center" vertical="center" wrapText="1"/>
      <protection locked="0"/>
    </xf>
    <xf numFmtId="0" fontId="0" fillId="10" borderId="9" xfId="0" applyFill="1" applyBorder="1" applyAlignment="1" applyProtection="1">
      <alignment horizontal="center" vertical="center" wrapText="1"/>
      <protection locked="0"/>
    </xf>
    <xf numFmtId="0" fontId="0" fillId="10" borderId="14" xfId="0" applyFill="1" applyBorder="1" applyAlignment="1" applyProtection="1">
      <alignment horizontal="center" vertical="center" wrapText="1"/>
      <protection locked="0"/>
    </xf>
    <xf numFmtId="0" fontId="0" fillId="10" borderId="27" xfId="0" applyFill="1" applyBorder="1" applyAlignment="1" applyProtection="1">
      <alignment horizontal="center" vertical="center" wrapText="1"/>
      <protection locked="0"/>
    </xf>
    <xf numFmtId="164" fontId="0" fillId="10" borderId="13" xfId="0" applyNumberFormat="1" applyFill="1" applyBorder="1" applyAlignment="1" applyProtection="1">
      <alignment horizontal="center" vertical="center" wrapText="1"/>
      <protection locked="0"/>
    </xf>
    <xf numFmtId="164" fontId="0" fillId="10" borderId="15" xfId="0" applyNumberFormat="1" applyFill="1" applyBorder="1" applyAlignment="1" applyProtection="1">
      <alignment horizontal="center" vertical="center" wrapText="1"/>
      <protection locked="0"/>
    </xf>
    <xf numFmtId="164" fontId="0" fillId="10" borderId="3" xfId="0" applyNumberFormat="1" applyFill="1" applyBorder="1" applyAlignment="1" applyProtection="1">
      <alignment horizontal="center" vertical="center" wrapText="1"/>
      <protection locked="0"/>
    </xf>
    <xf numFmtId="0" fontId="0" fillId="3" borderId="3" xfId="0" applyFill="1" applyBorder="1" applyAlignment="1">
      <alignment horizontal="left" vertical="center"/>
    </xf>
    <xf numFmtId="0" fontId="0" fillId="3" borderId="13" xfId="0" applyFill="1" applyBorder="1" applyAlignment="1">
      <alignment horizontal="left" vertical="center"/>
    </xf>
    <xf numFmtId="0" fontId="6" fillId="6" borderId="13" xfId="0" applyFont="1" applyFill="1" applyBorder="1" applyAlignment="1">
      <alignment horizontal="center" vertical="center" wrapText="1"/>
    </xf>
    <xf numFmtId="0" fontId="0" fillId="10" borderId="15" xfId="0" applyFill="1" applyBorder="1" applyAlignment="1" applyProtection="1">
      <alignment horizontal="center" vertical="center" wrapText="1"/>
      <protection locked="0"/>
    </xf>
    <xf numFmtId="0" fontId="0" fillId="10" borderId="3" xfId="0" applyFill="1" applyBorder="1" applyAlignment="1" applyProtection="1">
      <alignment horizontal="center" vertical="center" wrapText="1"/>
      <protection locked="0"/>
    </xf>
    <xf numFmtId="0" fontId="0" fillId="3" borderId="15" xfId="0" applyFill="1" applyBorder="1" applyAlignment="1">
      <alignment horizontal="left" vertical="center"/>
    </xf>
    <xf numFmtId="0" fontId="0" fillId="10" borderId="13" xfId="0" applyFill="1" applyBorder="1" applyAlignment="1" applyProtection="1">
      <alignment horizontal="center" vertical="center" wrapText="1"/>
      <protection locked="0"/>
    </xf>
    <xf numFmtId="0" fontId="30" fillId="0" borderId="0" xfId="0" applyFont="1" applyAlignment="1">
      <alignment horizontal="left" vertical="top" wrapText="1"/>
    </xf>
    <xf numFmtId="0" fontId="6" fillId="6" borderId="14"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6"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6"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0" fillId="10" borderId="20" xfId="0" applyFill="1" applyBorder="1" applyAlignment="1" applyProtection="1">
      <alignment horizontal="center" vertical="center" wrapText="1"/>
      <protection locked="0"/>
    </xf>
    <xf numFmtId="0" fontId="0" fillId="10" borderId="18" xfId="0" applyFill="1" applyBorder="1" applyAlignment="1" applyProtection="1">
      <alignment horizontal="center" vertical="center" wrapText="1"/>
      <protection locked="0"/>
    </xf>
    <xf numFmtId="0" fontId="23" fillId="6" borderId="3" xfId="0" applyFont="1" applyFill="1" applyBorder="1" applyAlignment="1">
      <alignment horizontal="left" vertical="center" wrapText="1"/>
    </xf>
    <xf numFmtId="0" fontId="4" fillId="6" borderId="0" xfId="0" applyFont="1" applyFill="1" applyAlignment="1">
      <alignment horizontal="left"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6"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10" borderId="15" xfId="0" applyFont="1" applyFill="1" applyBorder="1" applyAlignment="1" applyProtection="1">
      <alignment horizontal="center" vertical="center"/>
      <protection locked="0"/>
    </xf>
    <xf numFmtId="0" fontId="6" fillId="10" borderId="17" xfId="0" applyFont="1" applyFill="1" applyBorder="1" applyAlignment="1" applyProtection="1">
      <alignment horizontal="left" vertical="center" wrapText="1"/>
      <protection locked="0"/>
    </xf>
    <xf numFmtId="0" fontId="6" fillId="10" borderId="3" xfId="0" applyFont="1" applyFill="1" applyBorder="1" applyAlignment="1" applyProtection="1">
      <alignment horizontal="center" vertical="center" wrapText="1"/>
      <protection locked="0"/>
    </xf>
    <xf numFmtId="0" fontId="8" fillId="10" borderId="2" xfId="0" applyFont="1" applyFill="1" applyBorder="1" applyAlignment="1" applyProtection="1">
      <alignment horizontal="center" vertical="center"/>
      <protection locked="0"/>
    </xf>
    <xf numFmtId="0" fontId="6" fillId="10" borderId="8" xfId="0" applyFont="1" applyFill="1" applyBorder="1" applyAlignment="1" applyProtection="1">
      <alignment horizontal="center" vertical="center" wrapText="1"/>
      <protection locked="0"/>
    </xf>
    <xf numFmtId="0" fontId="8" fillId="10" borderId="20" xfId="0" applyFont="1" applyFill="1" applyBorder="1" applyAlignment="1" applyProtection="1">
      <alignment horizontal="center" vertical="center"/>
      <protection locked="0"/>
    </xf>
    <xf numFmtId="0" fontId="6" fillId="10" borderId="7" xfId="0" applyFont="1" applyFill="1" applyBorder="1" applyAlignment="1" applyProtection="1">
      <alignment horizontal="center" vertical="center" wrapText="1"/>
      <protection locked="0"/>
    </xf>
    <xf numFmtId="0" fontId="8" fillId="10" borderId="38" xfId="0" applyFont="1" applyFill="1" applyBorder="1" applyAlignment="1" applyProtection="1">
      <alignment horizontal="center" vertical="center"/>
      <protection locked="0"/>
    </xf>
    <xf numFmtId="0" fontId="8" fillId="10" borderId="39" xfId="0" applyFont="1" applyFill="1" applyBorder="1" applyAlignment="1" applyProtection="1">
      <alignment horizontal="center" vertical="center"/>
      <protection locked="0"/>
    </xf>
    <xf numFmtId="0" fontId="6" fillId="10" borderId="16" xfId="0" applyFont="1" applyFill="1" applyBorder="1" applyAlignment="1" applyProtection="1">
      <alignment horizontal="left" vertical="center" wrapText="1"/>
      <protection locked="0"/>
    </xf>
    <xf numFmtId="0" fontId="6" fillId="10" borderId="36" xfId="0" applyFont="1" applyFill="1" applyBorder="1" applyAlignment="1" applyProtection="1">
      <alignment horizontal="left" vertical="center" wrapText="1"/>
      <protection locked="0"/>
    </xf>
    <xf numFmtId="0" fontId="6" fillId="10" borderId="37" xfId="0" applyFont="1" applyFill="1" applyBorder="1" applyAlignment="1" applyProtection="1">
      <alignment horizontal="left" vertical="center" wrapText="1"/>
      <protection locked="0"/>
    </xf>
    <xf numFmtId="0" fontId="6" fillId="10" borderId="7" xfId="0" applyFont="1" applyFill="1" applyBorder="1" applyAlignment="1" applyProtection="1">
      <alignment horizontal="left" vertical="center"/>
      <protection locked="0"/>
    </xf>
    <xf numFmtId="0" fontId="6" fillId="10" borderId="9" xfId="0" applyFont="1" applyFill="1" applyBorder="1" applyAlignment="1" applyProtection="1">
      <alignment horizontal="left" vertical="center"/>
      <protection locked="0"/>
    </xf>
    <xf numFmtId="0" fontId="4" fillId="6" borderId="0" xfId="0" applyFont="1" applyFill="1" applyAlignment="1">
      <alignment horizontal="left" vertical="top"/>
    </xf>
    <xf numFmtId="0" fontId="4" fillId="6" borderId="3" xfId="0" applyFont="1" applyFill="1" applyBorder="1" applyAlignment="1">
      <alignment horizontal="left" vertical="center"/>
    </xf>
    <xf numFmtId="0" fontId="8" fillId="6" borderId="0" xfId="0" applyFont="1" applyFill="1" applyAlignment="1">
      <alignment horizontal="left" vertical="top" wrapText="1"/>
    </xf>
    <xf numFmtId="0" fontId="30"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center" vertical="center" wrapText="1"/>
    </xf>
    <xf numFmtId="0" fontId="4" fillId="6" borderId="0" xfId="0" applyFont="1" applyFill="1" applyAlignment="1">
      <alignment horizontal="left" vertical="top" wrapText="1"/>
    </xf>
    <xf numFmtId="0" fontId="3" fillId="6" borderId="6"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6" fillId="10" borderId="15" xfId="0" applyFont="1" applyFill="1" applyBorder="1" applyAlignment="1" applyProtection="1">
      <alignment horizontal="left" vertical="center"/>
      <protection locked="0"/>
    </xf>
    <xf numFmtId="0" fontId="6" fillId="10" borderId="3" xfId="0" applyFont="1" applyFill="1" applyBorder="1" applyAlignment="1" applyProtection="1">
      <alignment horizontal="left" vertical="center"/>
      <protection locked="0"/>
    </xf>
    <xf numFmtId="0" fontId="6" fillId="10" borderId="7" xfId="0" applyFont="1" applyFill="1" applyBorder="1" applyAlignment="1" applyProtection="1">
      <alignment horizontal="left" vertical="center" wrapText="1"/>
      <protection locked="0"/>
    </xf>
    <xf numFmtId="0" fontId="6" fillId="10" borderId="8" xfId="0" applyFont="1" applyFill="1" applyBorder="1" applyAlignment="1" applyProtection="1">
      <alignment horizontal="left" vertical="center" wrapText="1"/>
      <protection locked="0"/>
    </xf>
    <xf numFmtId="0" fontId="6" fillId="10" borderId="9" xfId="0" applyFont="1" applyFill="1" applyBorder="1" applyAlignment="1" applyProtection="1">
      <alignment horizontal="left" vertical="center" wrapText="1"/>
      <protection locked="0"/>
    </xf>
    <xf numFmtId="0" fontId="6" fillId="10" borderId="20" xfId="0" applyFont="1" applyFill="1" applyBorder="1" applyAlignment="1" applyProtection="1">
      <alignment horizontal="left" vertical="center" wrapText="1"/>
      <protection locked="0"/>
    </xf>
    <xf numFmtId="0" fontId="6" fillId="10" borderId="2" xfId="0" applyFont="1" applyFill="1" applyBorder="1" applyAlignment="1" applyProtection="1">
      <alignment horizontal="left" vertical="center" wrapText="1"/>
      <protection locked="0"/>
    </xf>
    <xf numFmtId="0" fontId="6" fillId="10" borderId="18" xfId="0" applyFont="1" applyFill="1" applyBorder="1" applyAlignment="1" applyProtection="1">
      <alignment horizontal="left" vertical="center" wrapText="1"/>
      <protection locked="0"/>
    </xf>
    <xf numFmtId="0" fontId="2" fillId="6" borderId="3"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6" fillId="10" borderId="13" xfId="0" applyFont="1" applyFill="1" applyBorder="1" applyAlignment="1" applyProtection="1">
      <alignment horizontal="left" vertical="center"/>
      <protection locked="0"/>
    </xf>
    <xf numFmtId="0" fontId="6" fillId="10" borderId="14" xfId="0" applyFont="1" applyFill="1" applyBorder="1" applyAlignment="1" applyProtection="1">
      <alignment horizontal="left" vertical="center" wrapText="1"/>
      <protection locked="0"/>
    </xf>
    <xf numFmtId="0" fontId="6" fillId="10" borderId="28" xfId="0" applyFont="1" applyFill="1" applyBorder="1" applyAlignment="1" applyProtection="1">
      <alignment horizontal="left" vertical="center" wrapText="1"/>
      <protection locked="0"/>
    </xf>
    <xf numFmtId="0" fontId="6" fillId="10"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8" fillId="6" borderId="6" xfId="0" applyFont="1" applyFill="1" applyBorder="1" applyAlignment="1">
      <alignment horizontal="center" vertical="center"/>
    </xf>
    <xf numFmtId="0" fontId="8" fillId="6" borderId="12" xfId="0" applyFont="1" applyFill="1" applyBorder="1" applyAlignment="1">
      <alignment horizontal="center" vertical="center"/>
    </xf>
    <xf numFmtId="167" fontId="6" fillId="10" borderId="7" xfId="0" applyNumberFormat="1" applyFont="1" applyFill="1" applyBorder="1" applyAlignment="1" applyProtection="1">
      <alignment horizontal="left" vertical="center"/>
      <protection locked="0"/>
    </xf>
    <xf numFmtId="167" fontId="6" fillId="10" borderId="8" xfId="0" applyNumberFormat="1" applyFont="1" applyFill="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2" fillId="6" borderId="0" xfId="0" applyFont="1" applyFill="1" applyAlignment="1">
      <alignment horizontal="center" vertical="center" wrapText="1"/>
    </xf>
    <xf numFmtId="2" fontId="6" fillId="6" borderId="0" xfId="0" applyNumberFormat="1" applyFont="1" applyFill="1" applyAlignment="1">
      <alignment horizontal="center" vertical="center"/>
    </xf>
    <xf numFmtId="10" fontId="6" fillId="6" borderId="0" xfId="1" applyNumberFormat="1" applyFont="1" applyFill="1" applyAlignment="1">
      <alignment horizontal="center" vertical="center"/>
    </xf>
    <xf numFmtId="0" fontId="4" fillId="0" borderId="0" xfId="0" applyFont="1" applyAlignment="1">
      <alignment horizontal="left" vertical="top"/>
    </xf>
    <xf numFmtId="0" fontId="16" fillId="6" borderId="0" xfId="0" applyFont="1" applyFill="1" applyAlignment="1">
      <alignment horizontal="center" vertical="top" wrapText="1"/>
    </xf>
    <xf numFmtId="0" fontId="11" fillId="6" borderId="6" xfId="0" applyFont="1" applyFill="1" applyBorder="1" applyAlignment="1">
      <alignment horizontal="center" vertical="center"/>
    </xf>
    <xf numFmtId="0" fontId="11" fillId="6" borderId="12" xfId="0" applyFont="1" applyFill="1" applyBorder="1" applyAlignment="1">
      <alignment horizontal="center" vertical="center"/>
    </xf>
  </cellXfs>
  <cellStyles count="3">
    <cellStyle name="Hyperlink" xfId="2" builtinId="8"/>
    <cellStyle name="Normal" xfId="0" builtinId="0"/>
    <cellStyle name="Percent" xfId="1" builtinId="5"/>
  </cellStyles>
  <dxfs count="135">
    <dxf>
      <fill>
        <patternFill>
          <bgColor rgb="FFFFF0D2"/>
        </patternFill>
      </fill>
    </dxf>
    <dxf>
      <font>
        <color rgb="FFC00000"/>
      </font>
      <fill>
        <patternFill>
          <bgColor rgb="FFFFCDCD"/>
        </patternFill>
      </fill>
    </dxf>
    <dxf>
      <font>
        <color rgb="FFC00000"/>
      </font>
      <fill>
        <patternFill>
          <bgColor rgb="FFFFCCCC"/>
        </patternFill>
      </fill>
    </dxf>
    <dxf>
      <fill>
        <patternFill>
          <bgColor theme="1" tint="0.499984740745262"/>
        </patternFill>
      </fill>
    </dxf>
    <dxf>
      <fill>
        <patternFill>
          <bgColor rgb="FFFFF0D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ont>
        <color rgb="FFC00000"/>
      </font>
      <fill>
        <patternFill>
          <bgColor theme="5" tint="0.7999816888943144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rgb="FFFFF0D2"/>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rgb="FFFFF0D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theme="1" tint="0.49998474074526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ill>
        <patternFill>
          <bgColor rgb="FFFFF0D2"/>
        </patternFill>
      </fill>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theme="1" tint="0.499984740745262"/>
        </patternFill>
      </fill>
    </dxf>
    <dxf>
      <border>
        <left style="thin">
          <color auto="1"/>
        </left>
        <right style="thin">
          <color auto="1"/>
        </right>
        <bottom style="thin">
          <color auto="1"/>
        </bottom>
        <vertical/>
        <horizontal/>
      </border>
    </dxf>
    <dxf>
      <fill>
        <patternFill>
          <bgColor rgb="FFFFF0D2"/>
        </patternFill>
      </fill>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id="2" name="ParamosIšmokėjimoBūdai" displayName="ParamosIšmokėjimoBūdai" ref="A84:C87" totalsRowShown="0">
  <autoFilter ref="A84:C87"/>
  <tableColumns count="3">
    <tableColumn id="1" name="Meniu_Būdas" dataDxfId="134"/>
    <tableColumn id="2" name="Taikymas" dataDxfId="133">
      <calculatedColumnFormula>_xlfn.XLOOKUP(ParamosIšmokėjimoBūdai[[#This Row],[Būdas]],Lentelė5[Naudojami paramos išmokėjimo būdai],Lentelė5[Pasirinkti])</calculatedColumnFormula>
    </tableColumn>
    <tableColumn id="3" name="Būdas"/>
  </tableColumns>
  <tableStyleInfo name="TableStyleLight1" showFirstColumn="0" showLastColumn="0" showRowStripes="1" showColumnStripes="0"/>
</table>
</file>

<file path=xl/tables/table2.xml><?xml version="1.0" encoding="utf-8"?>
<table xmlns="http://schemas.openxmlformats.org/spreadsheetml/2006/main" id="4" name="TaipNe" displayName="TaipNe" ref="A103:A105" totalsRowShown="0">
  <autoFilter ref="A103:A105"/>
  <tableColumns count="1">
    <tableColumn id="1" name="Taip ar Ne"/>
  </tableColumns>
  <tableStyleInfo name="TableStyleLight1" showFirstColumn="0" showLastColumn="0" showRowStripes="1" showColumnStripes="0"/>
</table>
</file>

<file path=xl/tables/table3.xml><?xml version="1.0" encoding="utf-8"?>
<table xmlns="http://schemas.openxmlformats.org/spreadsheetml/2006/main" id="3" name="Pataisymai" displayName="Pataisymai" ref="A6:E9" totalsRowShown="0" headerRowDxfId="132">
  <autoFilter ref="A6:E9"/>
  <tableColumns count="5">
    <tableColumn id="1" name="Eil. Nr." dataDxfId="131">
      <calculatedColumnFormula>ROW()-ROW(Pataisymai[[#Headers],[Eil. Nr.]])</calculatedColumnFormula>
    </tableColumn>
    <tableColumn id="2" name="Problema" dataDxfId="130"/>
    <tableColumn id="3" name="Registravimo data" dataDxfId="129"/>
    <tableColumn id="4" name="Pataisymas" dataDxfId="128"/>
    <tableColumn id="5" name="Pataisymo data" dataDxfId="127"/>
  </tableColumns>
  <tableStyleInfo name="TableStyleLight1" showFirstColumn="0" showLastColumn="0" showRowStripes="1" showColumnStripes="0"/>
</table>
</file>

<file path=xl/tables/table4.xml><?xml version="1.0" encoding="utf-8"?>
<table xmlns="http://schemas.openxmlformats.org/spreadsheetml/2006/main" id="5" name="Lentelė5" displayName="Lentelė5" ref="B29:C32" totalsRowShown="0" headerRowDxfId="126" headerRowBorderDxfId="125" tableBorderDxfId="124" totalsRowBorderDxfId="123">
  <autoFilter ref="B29:C32"/>
  <tableColumns count="2">
    <tableColumn id="1" name="Naudojami paramos išmokėjimo būdai" dataDxfId="122"/>
    <tableColumn id="2" name="Pasirinkti" dataDxfId="121"/>
  </tableColumns>
  <tableStyleInfo name="TableStyleLight1" showFirstColumn="0" showLastColumn="0" showRowStripes="1" showColumnStripes="0"/>
</table>
</file>

<file path=xl/tables/table5.xml><?xml version="1.0" encoding="utf-8"?>
<table xmlns="http://schemas.openxmlformats.org/spreadsheetml/2006/main" id="1" name="Turinys" displayName="Turinys" ref="B4:D17" totalsRowShown="0" headerRowDxfId="120" dataDxfId="119">
  <autoFilter ref="B4:D17"/>
  <tableColumns count="3">
    <tableColumn id="1" name="Eil. Nr." dataDxfId="118">
      <calculatedColumnFormula>ROW()-ROW(Turinys[[#Headers],[Eil. Nr.]])</calculatedColumnFormula>
    </tableColumn>
    <tableColumn id="3" name="Skyriaus Nr." dataDxfId="117"/>
    <tableColumn id="2" name="Skyrius" dataDxfId="116"/>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2:I70"/>
  <sheetViews>
    <sheetView topLeftCell="A53" zoomScale="130" zoomScaleNormal="130" workbookViewId="0">
      <selection activeCell="B71" sqref="B71"/>
    </sheetView>
  </sheetViews>
  <sheetFormatPr defaultRowHeight="14.4" x14ac:dyDescent="0.3"/>
  <cols>
    <col min="2" max="2" width="49.109375" customWidth="1"/>
    <col min="4" max="4" width="6.33203125" customWidth="1"/>
    <col min="5" max="5" width="46.6640625" customWidth="1"/>
    <col min="7" max="7" width="6.33203125" customWidth="1"/>
    <col min="8" max="8" width="45.5546875" customWidth="1"/>
    <col min="9" max="9" width="29.44140625" customWidth="1"/>
  </cols>
  <sheetData>
    <row r="12" spans="1:8" x14ac:dyDescent="0.3">
      <c r="A12" t="s">
        <v>93</v>
      </c>
      <c r="B12" t="s">
        <v>785</v>
      </c>
      <c r="D12" t="s">
        <v>786</v>
      </c>
      <c r="E12" t="s">
        <v>748</v>
      </c>
      <c r="H12" t="s">
        <v>92</v>
      </c>
    </row>
    <row r="13" spans="1:8" x14ac:dyDescent="0.3">
      <c r="A13" t="s">
        <v>786</v>
      </c>
      <c r="B13" t="s">
        <v>787</v>
      </c>
      <c r="D13" t="s">
        <v>0</v>
      </c>
      <c r="E13" t="s">
        <v>859</v>
      </c>
      <c r="G13" t="s">
        <v>93</v>
      </c>
      <c r="H13" t="s">
        <v>94</v>
      </c>
    </row>
    <row r="14" spans="1:8" x14ac:dyDescent="0.3">
      <c r="A14" t="s">
        <v>788</v>
      </c>
      <c r="B14" t="s">
        <v>789</v>
      </c>
      <c r="D14" t="s">
        <v>7</v>
      </c>
      <c r="E14" t="s">
        <v>749</v>
      </c>
      <c r="G14" t="s">
        <v>786</v>
      </c>
      <c r="H14" t="s">
        <v>95</v>
      </c>
    </row>
    <row r="15" spans="1:8" x14ac:dyDescent="0.3">
      <c r="A15" t="s">
        <v>790</v>
      </c>
      <c r="B15" t="s">
        <v>791</v>
      </c>
      <c r="D15" t="s">
        <v>244</v>
      </c>
      <c r="E15" t="s">
        <v>860</v>
      </c>
      <c r="G15" t="s">
        <v>0</v>
      </c>
      <c r="H15" t="s">
        <v>876</v>
      </c>
    </row>
    <row r="16" spans="1:8" x14ac:dyDescent="0.3">
      <c r="A16" t="s">
        <v>792</v>
      </c>
      <c r="B16" t="s">
        <v>793</v>
      </c>
      <c r="D16" t="s">
        <v>245</v>
      </c>
      <c r="E16" t="s">
        <v>750</v>
      </c>
      <c r="G16" t="s">
        <v>7</v>
      </c>
      <c r="H16" t="s">
        <v>877</v>
      </c>
    </row>
    <row r="17" spans="1:8" x14ac:dyDescent="0.3">
      <c r="A17" t="s">
        <v>794</v>
      </c>
      <c r="B17" t="s">
        <v>795</v>
      </c>
      <c r="D17" t="s">
        <v>8</v>
      </c>
      <c r="E17" t="s">
        <v>751</v>
      </c>
      <c r="G17" t="s">
        <v>8</v>
      </c>
      <c r="H17" t="s">
        <v>878</v>
      </c>
    </row>
    <row r="18" spans="1:8" x14ac:dyDescent="0.3">
      <c r="A18" t="s">
        <v>796</v>
      </c>
      <c r="B18" t="s">
        <v>797</v>
      </c>
      <c r="D18" t="s">
        <v>806</v>
      </c>
      <c r="E18" t="s">
        <v>752</v>
      </c>
      <c r="G18" t="s">
        <v>806</v>
      </c>
      <c r="H18" t="s">
        <v>97</v>
      </c>
    </row>
    <row r="19" spans="1:8" x14ac:dyDescent="0.3">
      <c r="A19" t="s">
        <v>798</v>
      </c>
      <c r="B19" t="s">
        <v>799</v>
      </c>
      <c r="D19" t="s">
        <v>0</v>
      </c>
      <c r="E19" t="s">
        <v>753</v>
      </c>
      <c r="G19" t="s">
        <v>0</v>
      </c>
      <c r="H19" t="s">
        <v>98</v>
      </c>
    </row>
    <row r="20" spans="1:8" x14ac:dyDescent="0.3">
      <c r="A20" t="s">
        <v>800</v>
      </c>
      <c r="B20" t="s">
        <v>801</v>
      </c>
      <c r="D20" t="s">
        <v>7</v>
      </c>
      <c r="E20" t="s">
        <v>754</v>
      </c>
      <c r="G20" t="s">
        <v>7</v>
      </c>
      <c r="H20" t="s">
        <v>39</v>
      </c>
    </row>
    <row r="21" spans="1:8" x14ac:dyDescent="0.3">
      <c r="A21" t="s">
        <v>802</v>
      </c>
      <c r="B21" t="s">
        <v>803</v>
      </c>
      <c r="D21" t="s">
        <v>8</v>
      </c>
      <c r="E21" t="s">
        <v>755</v>
      </c>
      <c r="G21" t="s">
        <v>8</v>
      </c>
      <c r="H21" t="s">
        <v>56</v>
      </c>
    </row>
    <row r="22" spans="1:8" x14ac:dyDescent="0.3">
      <c r="A22" t="s">
        <v>804</v>
      </c>
      <c r="B22" t="s">
        <v>805</v>
      </c>
      <c r="D22" t="s">
        <v>246</v>
      </c>
      <c r="E22" t="s">
        <v>756</v>
      </c>
      <c r="G22" t="s">
        <v>101</v>
      </c>
      <c r="H22" t="s">
        <v>40</v>
      </c>
    </row>
    <row r="23" spans="1:8" x14ac:dyDescent="0.3">
      <c r="A23" t="s">
        <v>806</v>
      </c>
      <c r="B23" t="s">
        <v>807</v>
      </c>
      <c r="D23" t="s">
        <v>339</v>
      </c>
      <c r="E23" t="s">
        <v>757</v>
      </c>
      <c r="G23" t="s">
        <v>9</v>
      </c>
      <c r="H23" t="s">
        <v>879</v>
      </c>
    </row>
    <row r="24" spans="1:8" x14ac:dyDescent="0.3">
      <c r="A24" t="s">
        <v>808</v>
      </c>
      <c r="B24" t="s">
        <v>809</v>
      </c>
      <c r="D24" t="s">
        <v>861</v>
      </c>
      <c r="E24" t="s">
        <v>758</v>
      </c>
      <c r="G24" t="s">
        <v>21</v>
      </c>
      <c r="H24" t="s">
        <v>762</v>
      </c>
    </row>
    <row r="25" spans="1:8" x14ac:dyDescent="0.3">
      <c r="A25" t="s">
        <v>810</v>
      </c>
      <c r="B25" t="s">
        <v>811</v>
      </c>
      <c r="D25" t="s">
        <v>862</v>
      </c>
      <c r="E25" t="s">
        <v>863</v>
      </c>
      <c r="G25" t="s">
        <v>34</v>
      </c>
      <c r="H25" t="s">
        <v>880</v>
      </c>
    </row>
    <row r="26" spans="1:8" x14ac:dyDescent="0.3">
      <c r="A26" t="s">
        <v>812</v>
      </c>
      <c r="B26" t="s">
        <v>813</v>
      </c>
      <c r="D26" t="s">
        <v>864</v>
      </c>
      <c r="E26" t="s">
        <v>865</v>
      </c>
      <c r="G26" t="s">
        <v>808</v>
      </c>
      <c r="H26" t="s">
        <v>100</v>
      </c>
    </row>
    <row r="27" spans="1:8" x14ac:dyDescent="0.3">
      <c r="A27" t="s">
        <v>814</v>
      </c>
      <c r="B27" t="s">
        <v>815</v>
      </c>
      <c r="D27" t="s">
        <v>866</v>
      </c>
      <c r="E27" t="s">
        <v>867</v>
      </c>
      <c r="G27" t="s">
        <v>0</v>
      </c>
      <c r="H27" s="275" t="s">
        <v>881</v>
      </c>
    </row>
    <row r="28" spans="1:8" x14ac:dyDescent="0.3">
      <c r="A28" t="s">
        <v>816</v>
      </c>
      <c r="B28" t="s">
        <v>817</v>
      </c>
      <c r="D28" t="s">
        <v>868</v>
      </c>
      <c r="E28" t="s">
        <v>869</v>
      </c>
      <c r="G28" t="s">
        <v>7</v>
      </c>
      <c r="H28" s="275" t="s">
        <v>882</v>
      </c>
    </row>
    <row r="29" spans="1:8" x14ac:dyDescent="0.3">
      <c r="A29" t="s">
        <v>818</v>
      </c>
      <c r="B29" t="s">
        <v>819</v>
      </c>
      <c r="D29" t="s">
        <v>870</v>
      </c>
      <c r="E29" t="s">
        <v>871</v>
      </c>
      <c r="G29" t="s">
        <v>104</v>
      </c>
      <c r="H29" t="s">
        <v>105</v>
      </c>
    </row>
    <row r="30" spans="1:8" x14ac:dyDescent="0.3">
      <c r="A30" t="s">
        <v>820</v>
      </c>
      <c r="B30" t="s">
        <v>821</v>
      </c>
      <c r="D30" t="s">
        <v>872</v>
      </c>
      <c r="E30" t="s">
        <v>873</v>
      </c>
      <c r="G30" t="s">
        <v>786</v>
      </c>
      <c r="H30" t="s">
        <v>883</v>
      </c>
    </row>
    <row r="31" spans="1:8" x14ac:dyDescent="0.3">
      <c r="A31" t="s">
        <v>822</v>
      </c>
      <c r="B31" t="s">
        <v>823</v>
      </c>
      <c r="D31" t="s">
        <v>874</v>
      </c>
      <c r="E31" t="s">
        <v>875</v>
      </c>
      <c r="G31" t="s">
        <v>0</v>
      </c>
      <c r="H31" t="s">
        <v>763</v>
      </c>
    </row>
    <row r="32" spans="1:8" x14ac:dyDescent="0.3">
      <c r="A32" t="s">
        <v>824</v>
      </c>
      <c r="B32" t="s">
        <v>825</v>
      </c>
      <c r="D32" t="s">
        <v>808</v>
      </c>
      <c r="E32" t="s">
        <v>759</v>
      </c>
      <c r="G32" t="s">
        <v>7</v>
      </c>
      <c r="H32" t="s">
        <v>764</v>
      </c>
    </row>
    <row r="33" spans="1:9" x14ac:dyDescent="0.3">
      <c r="A33" t="s">
        <v>826</v>
      </c>
      <c r="B33" t="s">
        <v>827</v>
      </c>
      <c r="D33" t="s">
        <v>834</v>
      </c>
      <c r="E33" t="s">
        <v>760</v>
      </c>
      <c r="G33" t="s">
        <v>8</v>
      </c>
      <c r="H33" t="s">
        <v>765</v>
      </c>
    </row>
    <row r="34" spans="1:9" x14ac:dyDescent="0.3">
      <c r="A34" t="s">
        <v>828</v>
      </c>
      <c r="B34" t="s">
        <v>829</v>
      </c>
      <c r="D34" t="s">
        <v>836</v>
      </c>
      <c r="E34" t="s">
        <v>761</v>
      </c>
      <c r="G34" t="s">
        <v>806</v>
      </c>
      <c r="H34" t="s">
        <v>884</v>
      </c>
    </row>
    <row r="35" spans="1:9" x14ac:dyDescent="0.3">
      <c r="A35" t="s">
        <v>104</v>
      </c>
      <c r="B35" t="s">
        <v>830</v>
      </c>
      <c r="G35" t="s">
        <v>0</v>
      </c>
      <c r="H35" t="s">
        <v>885</v>
      </c>
    </row>
    <row r="36" spans="1:9" x14ac:dyDescent="0.3">
      <c r="A36" t="s">
        <v>786</v>
      </c>
      <c r="B36" t="s">
        <v>831</v>
      </c>
      <c r="G36" t="s">
        <v>7</v>
      </c>
      <c r="H36" t="s">
        <v>113</v>
      </c>
    </row>
    <row r="37" spans="1:9" x14ac:dyDescent="0.3">
      <c r="A37" t="s">
        <v>806</v>
      </c>
      <c r="B37" t="s">
        <v>832</v>
      </c>
      <c r="G37" t="s">
        <v>808</v>
      </c>
      <c r="H37" t="s">
        <v>886</v>
      </c>
    </row>
    <row r="38" spans="1:9" x14ac:dyDescent="0.3">
      <c r="A38" t="s">
        <v>808</v>
      </c>
      <c r="B38" t="s">
        <v>833</v>
      </c>
      <c r="G38" t="s">
        <v>0</v>
      </c>
      <c r="H38" t="s">
        <v>887</v>
      </c>
    </row>
    <row r="39" spans="1:9" x14ac:dyDescent="0.3">
      <c r="A39" t="s">
        <v>834</v>
      </c>
      <c r="B39" t="s">
        <v>835</v>
      </c>
      <c r="G39" t="s">
        <v>7</v>
      </c>
      <c r="H39" t="s">
        <v>888</v>
      </c>
    </row>
    <row r="40" spans="1:9" x14ac:dyDescent="0.3">
      <c r="A40" t="s">
        <v>836</v>
      </c>
      <c r="B40" t="s">
        <v>837</v>
      </c>
      <c r="G40" t="s">
        <v>8</v>
      </c>
      <c r="H40" t="s">
        <v>889</v>
      </c>
    </row>
    <row r="41" spans="1:9" x14ac:dyDescent="0.3">
      <c r="A41" t="s">
        <v>838</v>
      </c>
      <c r="B41" t="s">
        <v>839</v>
      </c>
      <c r="G41" t="s">
        <v>834</v>
      </c>
      <c r="H41" t="s">
        <v>115</v>
      </c>
    </row>
    <row r="42" spans="1:9" x14ac:dyDescent="0.3">
      <c r="A42" t="s">
        <v>840</v>
      </c>
      <c r="B42" t="s">
        <v>841</v>
      </c>
      <c r="H42" t="s">
        <v>890</v>
      </c>
    </row>
    <row r="43" spans="1:9" x14ac:dyDescent="0.3">
      <c r="A43" t="s">
        <v>116</v>
      </c>
      <c r="B43" t="s">
        <v>842</v>
      </c>
    </row>
    <row r="44" spans="1:9" x14ac:dyDescent="0.3">
      <c r="A44" t="s">
        <v>786</v>
      </c>
      <c r="B44" t="s">
        <v>843</v>
      </c>
      <c r="H44" t="s">
        <v>119</v>
      </c>
    </row>
    <row r="45" spans="1:9" x14ac:dyDescent="0.3">
      <c r="A45" t="s">
        <v>806</v>
      </c>
      <c r="B45" t="s">
        <v>844</v>
      </c>
      <c r="G45" t="s">
        <v>116</v>
      </c>
      <c r="H45" t="s">
        <v>121</v>
      </c>
    </row>
    <row r="46" spans="1:9" x14ac:dyDescent="0.3">
      <c r="A46" t="s">
        <v>808</v>
      </c>
      <c r="B46" t="s">
        <v>845</v>
      </c>
      <c r="G46" t="s">
        <v>786</v>
      </c>
      <c r="H46" t="s">
        <v>122</v>
      </c>
      <c r="I46" t="s">
        <v>855</v>
      </c>
    </row>
    <row r="47" spans="1:9" x14ac:dyDescent="0.3">
      <c r="A47" t="s">
        <v>834</v>
      </c>
      <c r="B47" t="s">
        <v>846</v>
      </c>
      <c r="G47" t="s">
        <v>806</v>
      </c>
      <c r="H47" t="s">
        <v>127</v>
      </c>
      <c r="I47" t="s">
        <v>128</v>
      </c>
    </row>
    <row r="48" spans="1:9" x14ac:dyDescent="0.3">
      <c r="A48" t="s">
        <v>836</v>
      </c>
      <c r="B48" t="s">
        <v>847</v>
      </c>
      <c r="G48" t="s">
        <v>808</v>
      </c>
      <c r="H48" t="s">
        <v>858</v>
      </c>
      <c r="I48" t="s">
        <v>856</v>
      </c>
    </row>
    <row r="49" spans="1:9" x14ac:dyDescent="0.3">
      <c r="A49" t="s">
        <v>838</v>
      </c>
      <c r="B49" t="s">
        <v>848</v>
      </c>
      <c r="G49" t="s">
        <v>834</v>
      </c>
      <c r="H49" t="s">
        <v>891</v>
      </c>
      <c r="I49" t="s">
        <v>857</v>
      </c>
    </row>
    <row r="50" spans="1:9" x14ac:dyDescent="0.3">
      <c r="A50" t="s">
        <v>840</v>
      </c>
      <c r="B50" t="s">
        <v>849</v>
      </c>
      <c r="G50" t="s">
        <v>0</v>
      </c>
      <c r="H50" t="s">
        <v>766</v>
      </c>
    </row>
    <row r="51" spans="1:9" x14ac:dyDescent="0.3">
      <c r="A51" t="s">
        <v>120</v>
      </c>
      <c r="B51" t="s">
        <v>850</v>
      </c>
      <c r="G51" t="s">
        <v>7</v>
      </c>
      <c r="H51" t="s">
        <v>767</v>
      </c>
    </row>
    <row r="52" spans="1:9" x14ac:dyDescent="0.3">
      <c r="A52" t="s">
        <v>786</v>
      </c>
      <c r="B52" t="s">
        <v>851</v>
      </c>
      <c r="G52" t="s">
        <v>120</v>
      </c>
      <c r="H52" t="s">
        <v>768</v>
      </c>
    </row>
    <row r="53" spans="1:9" x14ac:dyDescent="0.3">
      <c r="A53" t="s">
        <v>806</v>
      </c>
      <c r="B53" t="s">
        <v>852</v>
      </c>
      <c r="G53" t="s">
        <v>0</v>
      </c>
      <c r="H53" t="s">
        <v>892</v>
      </c>
    </row>
    <row r="54" spans="1:9" x14ac:dyDescent="0.3">
      <c r="A54" t="s">
        <v>808</v>
      </c>
      <c r="B54" t="s">
        <v>853</v>
      </c>
      <c r="G54" t="s">
        <v>7</v>
      </c>
      <c r="H54" t="s">
        <v>769</v>
      </c>
    </row>
    <row r="55" spans="1:9" x14ac:dyDescent="0.3">
      <c r="G55" t="s">
        <v>244</v>
      </c>
      <c r="H55" t="s">
        <v>770</v>
      </c>
    </row>
    <row r="56" spans="1:9" x14ac:dyDescent="0.3">
      <c r="G56" t="s">
        <v>245</v>
      </c>
      <c r="H56" t="s">
        <v>771</v>
      </c>
    </row>
    <row r="57" spans="1:9" x14ac:dyDescent="0.3">
      <c r="G57" t="s">
        <v>8</v>
      </c>
      <c r="H57" t="s">
        <v>772</v>
      </c>
    </row>
    <row r="58" spans="1:9" x14ac:dyDescent="0.3">
      <c r="G58" t="s">
        <v>101</v>
      </c>
      <c r="H58" t="s">
        <v>773</v>
      </c>
    </row>
    <row r="59" spans="1:9" x14ac:dyDescent="0.3">
      <c r="G59" t="s">
        <v>132</v>
      </c>
      <c r="H59" t="s">
        <v>137</v>
      </c>
    </row>
    <row r="60" spans="1:9" x14ac:dyDescent="0.3">
      <c r="G60" t="s">
        <v>786</v>
      </c>
      <c r="H60" t="s">
        <v>774</v>
      </c>
    </row>
    <row r="61" spans="1:9" x14ac:dyDescent="0.3">
      <c r="G61" t="s">
        <v>0</v>
      </c>
      <c r="H61" t="s">
        <v>775</v>
      </c>
    </row>
    <row r="62" spans="1:9" x14ac:dyDescent="0.3">
      <c r="G62" t="s">
        <v>7</v>
      </c>
      <c r="H62" t="s">
        <v>776</v>
      </c>
    </row>
    <row r="63" spans="1:9" x14ac:dyDescent="0.3">
      <c r="G63" t="s">
        <v>806</v>
      </c>
      <c r="H63" t="s">
        <v>777</v>
      </c>
    </row>
    <row r="64" spans="1:9" x14ac:dyDescent="0.3">
      <c r="G64" t="s">
        <v>0</v>
      </c>
      <c r="H64" t="s">
        <v>780</v>
      </c>
    </row>
    <row r="65" spans="7:8" x14ac:dyDescent="0.3">
      <c r="G65" t="s">
        <v>7</v>
      </c>
      <c r="H65" t="s">
        <v>775</v>
      </c>
    </row>
    <row r="66" spans="7:8" x14ac:dyDescent="0.3">
      <c r="G66" t="s">
        <v>8</v>
      </c>
      <c r="H66" t="s">
        <v>141</v>
      </c>
    </row>
    <row r="67" spans="7:8" x14ac:dyDescent="0.3">
      <c r="G67" t="s">
        <v>101</v>
      </c>
      <c r="H67" t="s">
        <v>778</v>
      </c>
    </row>
    <row r="68" spans="7:8" x14ac:dyDescent="0.3">
      <c r="G68" t="s">
        <v>9</v>
      </c>
      <c r="H68" t="s">
        <v>144</v>
      </c>
    </row>
    <row r="69" spans="7:8" x14ac:dyDescent="0.3">
      <c r="G69" t="s">
        <v>21</v>
      </c>
      <c r="H69" t="s">
        <v>779</v>
      </c>
    </row>
    <row r="70" spans="7:8" x14ac:dyDescent="0.3">
      <c r="H70" t="s">
        <v>893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
    <tabColor theme="1"/>
  </sheetPr>
  <dimension ref="A1:C105"/>
  <sheetViews>
    <sheetView topLeftCell="A52" workbookViewId="0">
      <selection activeCell="F81" sqref="F81"/>
    </sheetView>
  </sheetViews>
  <sheetFormatPr defaultRowHeight="14.4" x14ac:dyDescent="0.3"/>
  <cols>
    <col min="1" max="1" width="25.6640625" customWidth="1"/>
  </cols>
  <sheetData>
    <row r="1" spans="1:1" s="60" customFormat="1" x14ac:dyDescent="0.3">
      <c r="A1" s="60" t="s">
        <v>224</v>
      </c>
    </row>
    <row r="2" spans="1:1" s="60" customFormat="1" x14ac:dyDescent="0.3">
      <c r="A2" t="s">
        <v>225</v>
      </c>
    </row>
    <row r="3" spans="1:1" x14ac:dyDescent="0.3">
      <c r="A3" t="s">
        <v>289</v>
      </c>
    </row>
    <row r="4" spans="1:1" x14ac:dyDescent="0.3">
      <c r="A4" t="s">
        <v>288</v>
      </c>
    </row>
    <row r="5" spans="1:1" x14ac:dyDescent="0.3">
      <c r="A5" t="s">
        <v>287</v>
      </c>
    </row>
    <row r="7" spans="1:1" x14ac:dyDescent="0.3">
      <c r="A7" s="60" t="s">
        <v>227</v>
      </c>
    </row>
    <row r="8" spans="1:1" x14ac:dyDescent="0.3">
      <c r="A8" t="s">
        <v>225</v>
      </c>
    </row>
    <row r="9" spans="1:1" x14ac:dyDescent="0.3">
      <c r="A9" t="s">
        <v>286</v>
      </c>
    </row>
    <row r="10" spans="1:1" x14ac:dyDescent="0.3">
      <c r="A10" t="s">
        <v>285</v>
      </c>
    </row>
    <row r="12" spans="1:1" x14ac:dyDescent="0.3">
      <c r="A12" s="60" t="s">
        <v>229</v>
      </c>
    </row>
    <row r="13" spans="1:1" x14ac:dyDescent="0.3">
      <c r="A13" t="s">
        <v>225</v>
      </c>
    </row>
    <row r="14" spans="1:1" x14ac:dyDescent="0.3">
      <c r="A14" t="s">
        <v>284</v>
      </c>
    </row>
    <row r="15" spans="1:1" x14ac:dyDescent="0.3">
      <c r="A15" t="s">
        <v>283</v>
      </c>
    </row>
    <row r="17" spans="1:2" s="60" customFormat="1" x14ac:dyDescent="0.3">
      <c r="A17" s="60" t="s">
        <v>230</v>
      </c>
    </row>
    <row r="18" spans="1:2" x14ac:dyDescent="0.3">
      <c r="A18" t="s">
        <v>225</v>
      </c>
    </row>
    <row r="19" spans="1:2" ht="14.7" customHeight="1" x14ac:dyDescent="0.3">
      <c r="A19" t="s">
        <v>282</v>
      </c>
    </row>
    <row r="20" spans="1:2" ht="14.7" customHeight="1" x14ac:dyDescent="0.3">
      <c r="A20" t="s">
        <v>281</v>
      </c>
    </row>
    <row r="21" spans="1:2" ht="14.7" customHeight="1" x14ac:dyDescent="0.3">
      <c r="A21" t="s">
        <v>280</v>
      </c>
    </row>
    <row r="23" spans="1:2" x14ac:dyDescent="0.3">
      <c r="A23" s="60" t="s">
        <v>234</v>
      </c>
    </row>
    <row r="24" spans="1:2" x14ac:dyDescent="0.3">
      <c r="A24" t="s">
        <v>225</v>
      </c>
    </row>
    <row r="25" spans="1:2" s="60" customFormat="1" ht="14.7" customHeight="1" x14ac:dyDescent="0.3">
      <c r="A25" t="s">
        <v>279</v>
      </c>
    </row>
    <row r="26" spans="1:2" s="60" customFormat="1" ht="14.7" customHeight="1" x14ac:dyDescent="0.3">
      <c r="A26" t="s">
        <v>278</v>
      </c>
    </row>
    <row r="27" spans="1:2" s="60" customFormat="1" ht="14.7" customHeight="1" x14ac:dyDescent="0.3">
      <c r="A27" t="s">
        <v>277</v>
      </c>
    </row>
    <row r="28" spans="1:2" s="60" customFormat="1" ht="14.7" customHeight="1" x14ac:dyDescent="0.3">
      <c r="A28" t="s">
        <v>276</v>
      </c>
    </row>
    <row r="29" spans="1:2" s="60" customFormat="1" ht="14.7" customHeight="1" x14ac:dyDescent="0.3">
      <c r="A29" t="s">
        <v>275</v>
      </c>
    </row>
    <row r="30" spans="1:2" s="60" customFormat="1" ht="14.7" customHeight="1" x14ac:dyDescent="0.3">
      <c r="A30" t="s">
        <v>274</v>
      </c>
    </row>
    <row r="31" spans="1:2" s="60" customFormat="1" ht="14.7" customHeight="1" x14ac:dyDescent="0.3">
      <c r="A31" t="s">
        <v>273</v>
      </c>
    </row>
    <row r="32" spans="1:2" x14ac:dyDescent="0.3">
      <c r="A32" s="61"/>
      <c r="B32" s="61"/>
    </row>
    <row r="33" spans="1:1" s="60" customFormat="1" x14ac:dyDescent="0.3">
      <c r="A33" s="60" t="s">
        <v>243</v>
      </c>
    </row>
    <row r="34" spans="1:1" s="60" customFormat="1" x14ac:dyDescent="0.3">
      <c r="A34" t="s">
        <v>225</v>
      </c>
    </row>
    <row r="35" spans="1:1" ht="14.7" customHeight="1" x14ac:dyDescent="0.3">
      <c r="A35" t="s">
        <v>272</v>
      </c>
    </row>
    <row r="36" spans="1:1" ht="14.7" customHeight="1" x14ac:dyDescent="0.3">
      <c r="A36" t="s">
        <v>271</v>
      </c>
    </row>
    <row r="37" spans="1:1" ht="14.7" customHeight="1" x14ac:dyDescent="0.3">
      <c r="A37" t="s">
        <v>270</v>
      </c>
    </row>
    <row r="38" spans="1:1" ht="14.7" customHeight="1" x14ac:dyDescent="0.3">
      <c r="A38" t="s">
        <v>269</v>
      </c>
    </row>
    <row r="39" spans="1:1" ht="14.7" customHeight="1" x14ac:dyDescent="0.3">
      <c r="A39" t="s">
        <v>268</v>
      </c>
    </row>
    <row r="40" spans="1:1" ht="14.7" customHeight="1" x14ac:dyDescent="0.3">
      <c r="A40" t="s">
        <v>267</v>
      </c>
    </row>
    <row r="42" spans="1:1" s="60" customFormat="1" x14ac:dyDescent="0.3">
      <c r="A42" s="60" t="s">
        <v>266</v>
      </c>
    </row>
    <row r="43" spans="1:1" x14ac:dyDescent="0.3">
      <c r="A43" t="s">
        <v>225</v>
      </c>
    </row>
    <row r="44" spans="1:1" ht="14.7" customHeight="1" x14ac:dyDescent="0.3">
      <c r="A44" t="s">
        <v>265</v>
      </c>
    </row>
    <row r="45" spans="1:1" ht="14.7" customHeight="1" x14ac:dyDescent="0.3">
      <c r="A45" t="s">
        <v>264</v>
      </c>
    </row>
    <row r="47" spans="1:1" s="60" customFormat="1" x14ac:dyDescent="0.3">
      <c r="A47" s="60" t="s">
        <v>263</v>
      </c>
    </row>
    <row r="48" spans="1:1" x14ac:dyDescent="0.3">
      <c r="A48" t="s">
        <v>225</v>
      </c>
    </row>
    <row r="49" spans="1:1" ht="14.7" customHeight="1" x14ac:dyDescent="0.3">
      <c r="A49" t="s">
        <v>262</v>
      </c>
    </row>
    <row r="50" spans="1:1" ht="14.7" customHeight="1" x14ac:dyDescent="0.3">
      <c r="A50" t="s">
        <v>261</v>
      </c>
    </row>
    <row r="51" spans="1:1" ht="14.7" customHeight="1" x14ac:dyDescent="0.3">
      <c r="A51" t="s">
        <v>260</v>
      </c>
    </row>
    <row r="54" spans="1:1" s="60" customFormat="1" x14ac:dyDescent="0.3">
      <c r="A54" s="60" t="s">
        <v>259</v>
      </c>
    </row>
    <row r="55" spans="1:1" x14ac:dyDescent="0.3">
      <c r="A55" t="s">
        <v>225</v>
      </c>
    </row>
    <row r="56" spans="1:1" ht="14.7" customHeight="1" x14ac:dyDescent="0.3">
      <c r="A56" t="s">
        <v>258</v>
      </c>
    </row>
    <row r="57" spans="1:1" ht="14.7" customHeight="1" x14ac:dyDescent="0.3">
      <c r="A57" t="s">
        <v>257</v>
      </c>
    </row>
    <row r="60" spans="1:1" s="60" customFormat="1" x14ac:dyDescent="0.3">
      <c r="A60" s="60" t="s">
        <v>256</v>
      </c>
    </row>
    <row r="61" spans="1:1" x14ac:dyDescent="0.3">
      <c r="A61" t="s">
        <v>225</v>
      </c>
    </row>
    <row r="62" spans="1:1" ht="14.7" customHeight="1" x14ac:dyDescent="0.3">
      <c r="A62" t="s">
        <v>255</v>
      </c>
    </row>
    <row r="63" spans="1:1" ht="14.7" customHeight="1" x14ac:dyDescent="0.3">
      <c r="A63" t="s">
        <v>254</v>
      </c>
    </row>
    <row r="65" spans="1:1" s="60" customFormat="1" x14ac:dyDescent="0.3">
      <c r="A65" s="60" t="s">
        <v>253</v>
      </c>
    </row>
    <row r="66" spans="1:1" x14ac:dyDescent="0.3">
      <c r="A66" t="s">
        <v>225</v>
      </c>
    </row>
    <row r="67" spans="1:1" ht="14.7" customHeight="1" x14ac:dyDescent="0.3">
      <c r="A67" t="s">
        <v>252</v>
      </c>
    </row>
    <row r="68" spans="1:1" ht="14.7" customHeight="1" x14ac:dyDescent="0.3">
      <c r="A68" t="s">
        <v>251</v>
      </c>
    </row>
    <row r="70" spans="1:1" s="60" customFormat="1" x14ac:dyDescent="0.3">
      <c r="A70" s="60" t="s">
        <v>247</v>
      </c>
    </row>
    <row r="71" spans="1:1" x14ac:dyDescent="0.3">
      <c r="A71" t="s">
        <v>225</v>
      </c>
    </row>
    <row r="72" spans="1:1" x14ac:dyDescent="0.3">
      <c r="A72" t="s">
        <v>250</v>
      </c>
    </row>
    <row r="73" spans="1:1" x14ac:dyDescent="0.3">
      <c r="A73" t="s">
        <v>249</v>
      </c>
    </row>
    <row r="74" spans="1:1" x14ac:dyDescent="0.3">
      <c r="A74" t="s">
        <v>248</v>
      </c>
    </row>
    <row r="76" spans="1:1" x14ac:dyDescent="0.3">
      <c r="A76" s="60" t="s">
        <v>316</v>
      </c>
    </row>
    <row r="77" spans="1:1" x14ac:dyDescent="0.3">
      <c r="A77" t="s">
        <v>225</v>
      </c>
    </row>
    <row r="78" spans="1:1" x14ac:dyDescent="0.3">
      <c r="A78" t="s">
        <v>335</v>
      </c>
    </row>
    <row r="79" spans="1:1" x14ac:dyDescent="0.3">
      <c r="A79" t="s">
        <v>314</v>
      </c>
    </row>
    <row r="80" spans="1:1" x14ac:dyDescent="0.3">
      <c r="A80" t="s">
        <v>315</v>
      </c>
    </row>
    <row r="83" spans="1:3" x14ac:dyDescent="0.3">
      <c r="A83" s="60" t="s">
        <v>344</v>
      </c>
    </row>
    <row r="84" spans="1:3" x14ac:dyDescent="0.3">
      <c r="A84" t="s">
        <v>932</v>
      </c>
      <c r="B84" t="s">
        <v>931</v>
      </c>
      <c r="C84" t="s">
        <v>740</v>
      </c>
    </row>
    <row r="85" spans="1:3" x14ac:dyDescent="0.3">
      <c r="A85" t="s">
        <v>345</v>
      </c>
      <c r="B85" t="str">
        <f>_xlfn.XLOOKUP(ParamosIšmokėjimoBūdai[[#This Row],[Būdas]],Lentelė5[Naudojami paramos išmokėjimo būdai],Lentelė5[Pasirinkti])</f>
        <v>Taip</v>
      </c>
      <c r="C85" t="s">
        <v>345</v>
      </c>
    </row>
    <row r="86" spans="1:3" x14ac:dyDescent="0.3">
      <c r="A86" t="s">
        <v>346</v>
      </c>
      <c r="B86" s="84" t="str">
        <f>_xlfn.XLOOKUP(ParamosIšmokėjimoBūdai[[#This Row],[Būdas]],Lentelė5[Naudojami paramos išmokėjimo būdai],Lentelė5[Pasirinkti])</f>
        <v>Ne</v>
      </c>
      <c r="C86" t="s">
        <v>346</v>
      </c>
    </row>
    <row r="87" spans="1:3" x14ac:dyDescent="0.3">
      <c r="A87" t="s">
        <v>336</v>
      </c>
      <c r="B87" t="str">
        <f>_xlfn.XLOOKUP(ParamosIšmokėjimoBūdai[[#This Row],[Būdas]],Lentelė5[Naudojami paramos išmokėjimo būdai],Lentelė5[Pasirinkti])</f>
        <v>Ne</v>
      </c>
      <c r="C87" t="s">
        <v>336</v>
      </c>
    </row>
    <row r="89" spans="1:3" x14ac:dyDescent="0.3">
      <c r="A89" s="60" t="s">
        <v>368</v>
      </c>
    </row>
    <row r="90" spans="1:3" x14ac:dyDescent="0.3">
      <c r="A90" t="s">
        <v>20</v>
      </c>
    </row>
    <row r="91" spans="1:3" x14ac:dyDescent="0.3">
      <c r="A91" s="84" t="s">
        <v>240</v>
      </c>
    </row>
    <row r="92" spans="1:3" x14ac:dyDescent="0.3">
      <c r="A92" t="s">
        <v>369</v>
      </c>
    </row>
    <row r="93" spans="1:3" x14ac:dyDescent="0.3">
      <c r="A93" t="s">
        <v>370</v>
      </c>
    </row>
    <row r="94" spans="1:3" ht="16.2" x14ac:dyDescent="0.3">
      <c r="A94" t="s">
        <v>372</v>
      </c>
    </row>
    <row r="95" spans="1:3" ht="16.2" x14ac:dyDescent="0.3">
      <c r="A95" t="s">
        <v>373</v>
      </c>
    </row>
    <row r="98" spans="1:1" x14ac:dyDescent="0.3">
      <c r="A98" s="60" t="s">
        <v>921</v>
      </c>
    </row>
    <row r="99" spans="1:1" x14ac:dyDescent="0.3">
      <c r="A99" t="s">
        <v>922</v>
      </c>
    </row>
    <row r="100" spans="1:1" x14ac:dyDescent="0.3">
      <c r="A100" t="s">
        <v>923</v>
      </c>
    </row>
    <row r="103" spans="1:1" x14ac:dyDescent="0.3">
      <c r="A103" t="s">
        <v>928</v>
      </c>
    </row>
    <row r="104" spans="1:1" x14ac:dyDescent="0.3">
      <c r="A104" t="s">
        <v>927</v>
      </c>
    </row>
    <row r="105" spans="1:1" x14ac:dyDescent="0.3">
      <c r="A105" t="s">
        <v>929</v>
      </c>
    </row>
  </sheetData>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E9"/>
  <sheetViews>
    <sheetView workbookViewId="0">
      <selection activeCell="B18" sqref="B18"/>
    </sheetView>
  </sheetViews>
  <sheetFormatPr defaultRowHeight="14.4" x14ac:dyDescent="0.3"/>
  <cols>
    <col min="1" max="1" width="5.109375" customWidth="1"/>
    <col min="2" max="2" width="51.88671875" customWidth="1"/>
    <col min="3" max="3" width="11.6640625" customWidth="1"/>
    <col min="4" max="4" width="51.88671875" customWidth="1"/>
    <col min="5" max="5" width="11.6640625" customWidth="1"/>
  </cols>
  <sheetData>
    <row r="2" spans="1:5" x14ac:dyDescent="0.3">
      <c r="B2" s="264" t="s">
        <v>741</v>
      </c>
      <c r="C2" s="265" t="s">
        <v>934</v>
      </c>
    </row>
    <row r="4" spans="1:5" x14ac:dyDescent="0.3">
      <c r="B4" t="s">
        <v>742</v>
      </c>
    </row>
    <row r="6" spans="1:5" ht="28.8" x14ac:dyDescent="0.3">
      <c r="A6" s="269" t="s">
        <v>22</v>
      </c>
      <c r="B6" s="269" t="s">
        <v>744</v>
      </c>
      <c r="C6" s="269" t="s">
        <v>745</v>
      </c>
      <c r="D6" s="269" t="s">
        <v>743</v>
      </c>
      <c r="E6" s="269" t="s">
        <v>746</v>
      </c>
    </row>
    <row r="7" spans="1:5" ht="72" x14ac:dyDescent="0.3">
      <c r="A7" s="65">
        <f>ROW()-ROW(Pataisymai[[#Headers],[Eil. Nr.]])</f>
        <v>1</v>
      </c>
      <c r="B7" s="63" t="s">
        <v>784</v>
      </c>
      <c r="C7" s="272">
        <v>45357</v>
      </c>
      <c r="D7" s="63" t="s">
        <v>918</v>
      </c>
      <c r="E7" s="62"/>
    </row>
    <row r="8" spans="1:5" x14ac:dyDescent="0.3">
      <c r="A8" s="65">
        <f>ROW()-ROW(Pataisymai[[#Headers],[Eil. Nr.]])</f>
        <v>2</v>
      </c>
      <c r="B8" s="63" t="s">
        <v>913</v>
      </c>
      <c r="C8" s="272">
        <v>45362</v>
      </c>
      <c r="D8" s="63"/>
      <c r="E8" s="62"/>
    </row>
    <row r="9" spans="1:5" ht="28.8" x14ac:dyDescent="0.3">
      <c r="A9" s="65">
        <f>ROW()-ROW(Pataisymai[[#Headers],[Eil. Nr.]])</f>
        <v>3</v>
      </c>
      <c r="B9" s="63" t="s">
        <v>936</v>
      </c>
      <c r="C9" s="272">
        <v>45364</v>
      </c>
      <c r="D9" s="63" t="s">
        <v>935</v>
      </c>
      <c r="E9" s="272">
        <v>45385</v>
      </c>
    </row>
  </sheetData>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2">
    <tabColor theme="0"/>
  </sheetPr>
  <dimension ref="B1:E32"/>
  <sheetViews>
    <sheetView zoomScale="120" zoomScaleNormal="120" workbookViewId="0">
      <selection activeCell="G7" sqref="G6:G7"/>
    </sheetView>
  </sheetViews>
  <sheetFormatPr defaultRowHeight="14.4" x14ac:dyDescent="0.3"/>
  <cols>
    <col min="1" max="1" width="4.109375" customWidth="1"/>
    <col min="2" max="2" width="32.88671875" customWidth="1"/>
    <col min="3" max="3" width="44.109375" customWidth="1"/>
    <col min="4" max="4" width="4.109375" customWidth="1"/>
  </cols>
  <sheetData>
    <row r="1" spans="2:5" x14ac:dyDescent="0.3">
      <c r="B1" t="s">
        <v>988</v>
      </c>
    </row>
    <row r="2" spans="2:5" x14ac:dyDescent="0.3">
      <c r="B2" s="264" t="s">
        <v>730</v>
      </c>
      <c r="C2" s="411" t="s">
        <v>987</v>
      </c>
    </row>
    <row r="3" spans="2:5" ht="50.25" customHeight="1" x14ac:dyDescent="0.3">
      <c r="B3" s="412" t="s">
        <v>938</v>
      </c>
      <c r="C3" s="413"/>
    </row>
    <row r="4" spans="2:5" x14ac:dyDescent="0.3">
      <c r="B4" s="60" t="s">
        <v>298</v>
      </c>
    </row>
    <row r="5" spans="2:5" x14ac:dyDescent="0.3">
      <c r="B5" s="60"/>
    </row>
    <row r="6" spans="2:5" ht="100.8" x14ac:dyDescent="0.3">
      <c r="B6" s="73" t="s">
        <v>678</v>
      </c>
      <c r="C6" s="194" t="s">
        <v>989</v>
      </c>
    </row>
    <row r="8" spans="2:5" x14ac:dyDescent="0.3">
      <c r="C8" s="288"/>
    </row>
    <row r="9" spans="2:5" x14ac:dyDescent="0.3">
      <c r="B9" s="279" t="s">
        <v>937</v>
      </c>
      <c r="C9" s="279" t="s">
        <v>922</v>
      </c>
    </row>
    <row r="12" spans="2:5" x14ac:dyDescent="0.3">
      <c r="B12" s="73" t="s">
        <v>422</v>
      </c>
      <c r="C12" s="72">
        <v>45658</v>
      </c>
    </row>
    <row r="13" spans="2:5" x14ac:dyDescent="0.3">
      <c r="B13" s="73" t="s">
        <v>236</v>
      </c>
      <c r="C13" s="72">
        <v>45658</v>
      </c>
    </row>
    <row r="14" spans="2:5" ht="28.8" x14ac:dyDescent="0.3">
      <c r="B14" s="73" t="s">
        <v>295</v>
      </c>
      <c r="C14" s="71">
        <v>24</v>
      </c>
    </row>
    <row r="15" spans="2:5" ht="28.8" x14ac:dyDescent="0.3">
      <c r="B15" s="73" t="s">
        <v>299</v>
      </c>
      <c r="C15" s="71">
        <v>3</v>
      </c>
    </row>
    <row r="16" spans="2:5" x14ac:dyDescent="0.3">
      <c r="B16" s="194" t="s">
        <v>302</v>
      </c>
      <c r="C16" s="193"/>
      <c r="E16" s="62" t="s">
        <v>355</v>
      </c>
    </row>
    <row r="17" spans="2:3" x14ac:dyDescent="0.3">
      <c r="B17" s="73" t="s">
        <v>414</v>
      </c>
      <c r="C17" s="71">
        <v>3</v>
      </c>
    </row>
    <row r="18" spans="2:3" x14ac:dyDescent="0.3">
      <c r="B18" s="195"/>
      <c r="C18" s="192"/>
    </row>
    <row r="19" spans="2:3" x14ac:dyDescent="0.3">
      <c r="B19" s="195"/>
      <c r="C19" s="192"/>
    </row>
    <row r="20" spans="2:3" x14ac:dyDescent="0.3">
      <c r="B20" s="196" t="s">
        <v>297</v>
      </c>
      <c r="C20" s="76" t="s">
        <v>242</v>
      </c>
    </row>
    <row r="21" spans="2:3" x14ac:dyDescent="0.3">
      <c r="B21" s="73" t="s">
        <v>219</v>
      </c>
      <c r="C21" s="77">
        <v>1.25</v>
      </c>
    </row>
    <row r="22" spans="2:3" x14ac:dyDescent="0.3">
      <c r="B22" s="73" t="s">
        <v>220</v>
      </c>
      <c r="C22" s="77">
        <v>0.65</v>
      </c>
    </row>
    <row r="23" spans="2:3" x14ac:dyDescent="0.3">
      <c r="B23" s="73" t="s">
        <v>221</v>
      </c>
      <c r="C23" s="78">
        <v>0</v>
      </c>
    </row>
    <row r="24" spans="2:3" x14ac:dyDescent="0.3">
      <c r="B24" s="73" t="s">
        <v>237</v>
      </c>
      <c r="C24" s="77">
        <v>1</v>
      </c>
    </row>
    <row r="25" spans="2:3" x14ac:dyDescent="0.3">
      <c r="B25" s="195"/>
      <c r="C25" s="192"/>
    </row>
    <row r="26" spans="2:3" x14ac:dyDescent="0.3">
      <c r="B26" s="195"/>
      <c r="C26" s="192"/>
    </row>
    <row r="27" spans="2:3" ht="28.8" x14ac:dyDescent="0.3">
      <c r="B27" s="73" t="s">
        <v>348</v>
      </c>
      <c r="C27" s="289">
        <v>0.4</v>
      </c>
    </row>
    <row r="29" spans="2:3" x14ac:dyDescent="0.3">
      <c r="B29" s="284" t="s">
        <v>926</v>
      </c>
      <c r="C29" s="285" t="s">
        <v>930</v>
      </c>
    </row>
    <row r="30" spans="2:3" x14ac:dyDescent="0.3">
      <c r="B30" s="282" t="s">
        <v>345</v>
      </c>
      <c r="C30" s="283" t="s">
        <v>927</v>
      </c>
    </row>
    <row r="31" spans="2:3" x14ac:dyDescent="0.3">
      <c r="B31" s="282" t="s">
        <v>346</v>
      </c>
      <c r="C31" s="283" t="s">
        <v>929</v>
      </c>
    </row>
    <row r="32" spans="2:3" x14ac:dyDescent="0.3">
      <c r="B32" s="286" t="s">
        <v>336</v>
      </c>
      <c r="C32" s="287" t="s">
        <v>929</v>
      </c>
    </row>
  </sheetData>
  <mergeCells count="1">
    <mergeCell ref="B3:C3"/>
  </mergeCells>
  <dataValidations count="1">
    <dataValidation type="list" allowBlank="1" showInputMessage="1" showErrorMessage="1" sqref="C30:C32">
      <formula1>Meniu_TaipNe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3">
    <tabColor theme="9"/>
  </sheetPr>
  <dimension ref="B2:D17"/>
  <sheetViews>
    <sheetView zoomScale="180" zoomScaleNormal="180" workbookViewId="0">
      <selection activeCell="D4" sqref="D4"/>
    </sheetView>
  </sheetViews>
  <sheetFormatPr defaultColWidth="8.6640625" defaultRowHeight="13.8" x14ac:dyDescent="0.3"/>
  <cols>
    <col min="1" max="1" width="2.33203125" style="240" customWidth="1"/>
    <col min="2" max="2" width="4.88671875" style="240" hidden="1" customWidth="1"/>
    <col min="3" max="3" width="7.88671875" style="240" customWidth="1"/>
    <col min="4" max="4" width="64.33203125" style="240" customWidth="1"/>
    <col min="5" max="5" width="2.44140625" style="240" customWidth="1"/>
    <col min="6" max="16384" width="8.6640625" style="240"/>
  </cols>
  <sheetData>
    <row r="2" spans="2:4" ht="14.4" x14ac:dyDescent="0.3">
      <c r="B2" s="414" t="s">
        <v>5</v>
      </c>
      <c r="C2" s="414"/>
      <c r="D2" s="414"/>
    </row>
    <row r="4" spans="2:4" s="241" customFormat="1" ht="26.25" customHeight="1" x14ac:dyDescent="0.3">
      <c r="B4" s="242" t="s">
        <v>22</v>
      </c>
      <c r="C4" s="242" t="s">
        <v>673</v>
      </c>
      <c r="D4" s="242" t="s">
        <v>366</v>
      </c>
    </row>
    <row r="5" spans="2:4" s="241" customFormat="1" ht="14.4" x14ac:dyDescent="0.3">
      <c r="B5" s="243">
        <f>ROW()-ROW(Turinys[[#Headers],[Eil. Nr.]])</f>
        <v>1</v>
      </c>
      <c r="C5" s="243"/>
      <c r="D5" s="244" t="s">
        <v>293</v>
      </c>
    </row>
    <row r="6" spans="2:4" s="241" customFormat="1" ht="14.4" x14ac:dyDescent="0.3">
      <c r="B6" s="243">
        <f>ROW()-ROW(Turinys[[#Headers],[Eil. Nr.]])</f>
        <v>2</v>
      </c>
      <c r="C6" s="243" t="s">
        <v>0</v>
      </c>
      <c r="D6" s="244" t="s">
        <v>731</v>
      </c>
    </row>
    <row r="7" spans="2:4" s="241" customFormat="1" ht="14.4" x14ac:dyDescent="0.3">
      <c r="B7" s="243">
        <f>ROW()-ROW(Turinys[[#Headers],[Eil. Nr.]])</f>
        <v>3</v>
      </c>
      <c r="C7" s="243" t="s">
        <v>7</v>
      </c>
      <c r="D7" s="244" t="s">
        <v>732</v>
      </c>
    </row>
    <row r="8" spans="2:4" s="241" customFormat="1" ht="28.8" x14ac:dyDescent="0.3">
      <c r="B8" s="243">
        <f>ROW()-ROW(Turinys[[#Headers],[Eil. Nr.]])</f>
        <v>4</v>
      </c>
      <c r="C8" s="243" t="s">
        <v>8</v>
      </c>
      <c r="D8" s="244" t="s">
        <v>733</v>
      </c>
    </row>
    <row r="9" spans="2:4" s="241" customFormat="1" ht="14.4" x14ac:dyDescent="0.3">
      <c r="B9" s="243">
        <f>ROW()-ROW(Turinys[[#Headers],[Eil. Nr.]])</f>
        <v>5</v>
      </c>
      <c r="C9" s="243" t="s">
        <v>101</v>
      </c>
      <c r="D9" s="244" t="s">
        <v>734</v>
      </c>
    </row>
    <row r="10" spans="2:4" s="241" customFormat="1" ht="14.4" x14ac:dyDescent="0.3">
      <c r="B10" s="243">
        <f>ROW()-ROW(Turinys[[#Headers],[Eil. Nr.]])</f>
        <v>6</v>
      </c>
      <c r="C10" s="243" t="s">
        <v>9</v>
      </c>
      <c r="D10" s="244" t="s">
        <v>735</v>
      </c>
    </row>
    <row r="11" spans="2:4" s="241" customFormat="1" ht="14.4" x14ac:dyDescent="0.3">
      <c r="B11" s="243">
        <f>ROW()-ROW(Turinys[[#Headers],[Eil. Nr.]])</f>
        <v>7</v>
      </c>
      <c r="C11" s="243" t="s">
        <v>21</v>
      </c>
      <c r="D11" s="244" t="s">
        <v>736</v>
      </c>
    </row>
    <row r="12" spans="2:4" s="241" customFormat="1" ht="14.4" x14ac:dyDescent="0.3">
      <c r="B12" s="243">
        <f>ROW()-ROW(Turinys[[#Headers],[Eil. Nr.]])</f>
        <v>8</v>
      </c>
      <c r="C12" s="243" t="s">
        <v>34</v>
      </c>
      <c r="D12" s="244" t="s">
        <v>737</v>
      </c>
    </row>
    <row r="13" spans="2:4" s="241" customFormat="1" ht="14.4" x14ac:dyDescent="0.3">
      <c r="B13" s="243">
        <f>ROW()-ROW(Turinys[[#Headers],[Eil. Nr.]])</f>
        <v>9</v>
      </c>
      <c r="C13" s="243" t="s">
        <v>36</v>
      </c>
      <c r="D13" s="244" t="s">
        <v>738</v>
      </c>
    </row>
    <row r="14" spans="2:4" s="241" customFormat="1" ht="14.4" x14ac:dyDescent="0.3">
      <c r="B14" s="243">
        <f>ROW()-ROW(Turinys[[#Headers],[Eil. Nr.]])</f>
        <v>10</v>
      </c>
      <c r="C14" s="243" t="s">
        <v>674</v>
      </c>
      <c r="D14" s="244" t="s">
        <v>91</v>
      </c>
    </row>
    <row r="15" spans="2:4" s="241" customFormat="1" ht="14.4" x14ac:dyDescent="0.3">
      <c r="B15" s="243">
        <f>ROW()-ROW(Turinys[[#Headers],[Eil. Nr.]])</f>
        <v>11</v>
      </c>
      <c r="C15" s="243" t="s">
        <v>675</v>
      </c>
      <c r="D15" s="244" t="s">
        <v>148</v>
      </c>
    </row>
    <row r="16" spans="2:4" s="241" customFormat="1" ht="14.4" x14ac:dyDescent="0.3">
      <c r="B16" s="243">
        <f>ROW()-ROW(Turinys[[#Headers],[Eil. Nr.]])</f>
        <v>12</v>
      </c>
      <c r="C16" s="243" t="s">
        <v>676</v>
      </c>
      <c r="D16" s="244" t="s">
        <v>160</v>
      </c>
    </row>
    <row r="17" spans="2:4" s="241" customFormat="1" ht="14.4" x14ac:dyDescent="0.3">
      <c r="B17" s="243">
        <f>ROW()-ROW(Turinys[[#Headers],[Eil. Nr.]])</f>
        <v>13</v>
      </c>
      <c r="C17" s="243" t="s">
        <v>157</v>
      </c>
      <c r="D17" s="244" t="s">
        <v>739</v>
      </c>
    </row>
  </sheetData>
  <sheetProtection algorithmName="SHA-512" hashValue="8Yjo0c6vEJhf+Fk0yREkd9A1l3vsP8UIqVu58EErjIDutBxKzFr896FKUHq0qAz8+jYS32TqNHevixX/1mOwIA==" saltValue="putzgaiVDC0fB1ztODKZeA==" spinCount="100000" sheet="1" objects="1" scenarios="1"/>
  <mergeCells count="1">
    <mergeCell ref="B2:D2"/>
  </mergeCells>
  <hyperlinks>
    <hyperlink ref="D5" location="Pastabos!A1" display="PASTABOS"/>
    <hyperlink ref="D6" location="'1'!A1" display="BENDROJI INFORMACIJA"/>
    <hyperlink ref="D8" location="'2-3'!A5" display="ESAMA SITUACIJA (IŠSKYRUS FINANSINĘ) IR PROGNOZUOJAMAS POKYTIS PO PARAMOS GAVIMO"/>
    <hyperlink ref="D7" location="'2-3'!A1" display="INFORMACIJA APIE VERSLO IDĖJĄ"/>
    <hyperlink ref="D9" location="'4'!A1" display="INFORMACIJA APIE PAJAMAS, PRODUKTŲ IR PASLAUGŲ PARDAVIMUS, GAMYBĄ "/>
    <hyperlink ref="D10" location="'5'!A1" display="INFORMACIJA APIE INVESTICIJAS IR JŲ APMOKĖJIMO ŠALTINIUS"/>
    <hyperlink ref="D11" location="'6'!A1" display="INFORMACIJA APIE ILGALAIKĮ TURTĄ"/>
    <hyperlink ref="D12" location="'7'!A1" display="INFORMACIJA APIE PAREIŠKĖJO VEIKLOS SĄNAUDAS"/>
    <hyperlink ref="D13" location="'8'!A1" display="INFORMACIJA APIE PASKOLAS IR (ARBA) IŠPERKAMĄJĄ (FINANSINĘ) NUOMĄ (LIZINGĄ), EUR"/>
    <hyperlink ref="D14" location="'9.1'!A1" display="FINANSINĖS ATASKAITOS.  Balanso prognozės"/>
    <hyperlink ref="D15" location="'9.2'!A1" display="FINANSINĖS ATASKAITOS. Pelno (nuostolių) prognozės"/>
    <hyperlink ref="D16" location="'9.3'!A1" display="FINANSINĖS ATASKAITOS. Pinigų srautų prognozės"/>
    <hyperlink ref="D17" location="'10'!A1" display="INFORMACIJA APIE ŪKIO SUBJEKTO EKONOMINIO GYVYBINGUMO RODIKLIUS"/>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4">
    <tabColor rgb="FFC00000"/>
  </sheetPr>
  <dimension ref="A2:D12"/>
  <sheetViews>
    <sheetView tabSelected="1" zoomScale="91" zoomScaleNormal="150" workbookViewId="0">
      <selection activeCell="F6" sqref="F6"/>
    </sheetView>
  </sheetViews>
  <sheetFormatPr defaultRowHeight="14.4" x14ac:dyDescent="0.3"/>
  <cols>
    <col min="1" max="1" width="3.44140625" customWidth="1"/>
    <col min="2" max="2" width="59.109375" style="393" customWidth="1"/>
    <col min="3" max="3" width="3.44140625" customWidth="1"/>
    <col min="4" max="4" width="9.33203125" hidden="1" customWidth="1"/>
    <col min="5" max="5" width="9.33203125" customWidth="1"/>
  </cols>
  <sheetData>
    <row r="2" spans="1:4" x14ac:dyDescent="0.3">
      <c r="B2" s="385" t="s">
        <v>418</v>
      </c>
    </row>
    <row r="3" spans="1:4" ht="36" x14ac:dyDescent="0.3">
      <c r="B3" s="386" t="s">
        <v>979</v>
      </c>
    </row>
    <row r="4" spans="1:4" ht="48" x14ac:dyDescent="0.3">
      <c r="B4" s="387" t="s">
        <v>980</v>
      </c>
    </row>
    <row r="5" spans="1:4" ht="24" x14ac:dyDescent="0.3">
      <c r="B5" s="388" t="s">
        <v>981</v>
      </c>
    </row>
    <row r="6" spans="1:4" ht="24" x14ac:dyDescent="0.3">
      <c r="B6" s="389" t="s">
        <v>531</v>
      </c>
      <c r="D6" t="s">
        <v>423</v>
      </c>
    </row>
    <row r="7" spans="1:4" ht="24" x14ac:dyDescent="0.3">
      <c r="B7" s="390" t="s">
        <v>982</v>
      </c>
    </row>
    <row r="8" spans="1:4" ht="36" x14ac:dyDescent="0.3">
      <c r="B8" s="391" t="s">
        <v>677</v>
      </c>
      <c r="D8" s="84" t="s">
        <v>419</v>
      </c>
    </row>
    <row r="9" spans="1:4" ht="36" x14ac:dyDescent="0.3">
      <c r="B9" s="392" t="s">
        <v>681</v>
      </c>
      <c r="D9" t="s">
        <v>532</v>
      </c>
    </row>
    <row r="11" spans="1:4" ht="48" x14ac:dyDescent="0.3">
      <c r="A11" s="65"/>
      <c r="B11" s="394" t="s">
        <v>420</v>
      </c>
    </row>
    <row r="12" spans="1:4" ht="36" x14ac:dyDescent="0.3">
      <c r="B12" s="395" t="s">
        <v>421</v>
      </c>
    </row>
  </sheetData>
  <sheetProtection algorithmName="SHA-512" hashValue="T3vVE28eTm6yNQKLMQieKP03xxiBdjbYnP7S43oyzNQWqEJukJpFCVGQD+9V3/8b8/RuKUDdjLBa5Gp5V9+gfg==" saltValue="KXAMR6UtxffiTDYPa38iUw==" spinCount="100000" sheet="1" objects="1" scenarios="1"/>
  <conditionalFormatting sqref="B3:B4">
    <cfRule type="expression" dxfId="115" priority="1">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5">
    <tabColor theme="9" tint="-0.249977111117893"/>
    <pageSetUpPr fitToPage="1"/>
  </sheetPr>
  <dimension ref="A1:K35"/>
  <sheetViews>
    <sheetView zoomScale="80" zoomScaleNormal="80" workbookViewId="0">
      <selection activeCell="B31" sqref="B31"/>
    </sheetView>
  </sheetViews>
  <sheetFormatPr defaultColWidth="8.88671875" defaultRowHeight="14.4" x14ac:dyDescent="0.3"/>
  <cols>
    <col min="1" max="1" width="9.109375" style="63" customWidth="1"/>
    <col min="2" max="2" width="34.6640625" style="63" customWidth="1"/>
    <col min="3" max="3" width="18.88671875" style="63" customWidth="1"/>
    <col min="4" max="5" width="18.33203125" style="63" customWidth="1"/>
    <col min="6" max="6" width="4.109375" style="62" customWidth="1"/>
    <col min="7" max="7" width="53.109375" style="62" customWidth="1"/>
    <col min="8" max="8" width="8.88671875" style="62"/>
    <col min="9" max="9" width="10.109375" style="62" bestFit="1" customWidth="1"/>
    <col min="10" max="10" width="9.44140625" style="62" customWidth="1"/>
    <col min="11" max="16384" width="8.88671875" style="62"/>
  </cols>
  <sheetData>
    <row r="1" spans="1:11" x14ac:dyDescent="0.3">
      <c r="E1" s="268" t="str">
        <f>_xlfn.CONCAT("Versija: ",Forma!$C$2,TEXT(Parametrai!$C$2,".000"))</f>
        <v>Versija: L2.45690</v>
      </c>
      <c r="G1" s="290" t="s">
        <v>293</v>
      </c>
    </row>
    <row r="2" spans="1:11" ht="25.2" customHeight="1" x14ac:dyDescent="0.3">
      <c r="A2" s="426"/>
      <c r="B2" s="426"/>
      <c r="C2" s="426"/>
      <c r="D2" s="426"/>
      <c r="E2" s="426"/>
      <c r="G2" s="291" t="s">
        <v>351</v>
      </c>
    </row>
    <row r="3" spans="1:11" x14ac:dyDescent="0.3">
      <c r="C3" s="74" t="s">
        <v>294</v>
      </c>
      <c r="D3" s="74"/>
      <c r="G3" s="276"/>
    </row>
    <row r="4" spans="1:11" ht="25.2" customHeight="1" x14ac:dyDescent="0.3">
      <c r="A4" s="429"/>
      <c r="B4" s="429"/>
      <c r="C4" s="429"/>
      <c r="D4" s="429"/>
      <c r="E4" s="429"/>
      <c r="G4" s="276"/>
    </row>
    <row r="5" spans="1:11" x14ac:dyDescent="0.3">
      <c r="C5" s="74" t="s">
        <v>939</v>
      </c>
      <c r="D5" s="74"/>
      <c r="G5" s="276"/>
    </row>
    <row r="6" spans="1:11" ht="10.199999999999999" customHeight="1" x14ac:dyDescent="0.3">
      <c r="C6" s="74"/>
      <c r="D6" s="74"/>
      <c r="G6" s="276"/>
    </row>
    <row r="7" spans="1:11" ht="47.25" customHeight="1" x14ac:dyDescent="0.3">
      <c r="A7" s="431" t="s">
        <v>978</v>
      </c>
      <c r="B7" s="431"/>
      <c r="C7" s="431"/>
      <c r="D7" s="431"/>
      <c r="E7" s="431"/>
      <c r="G7" s="276"/>
    </row>
    <row r="8" spans="1:11" ht="10.199999999999999" customHeight="1" x14ac:dyDescent="0.3">
      <c r="A8" s="58"/>
      <c r="G8" s="276"/>
    </row>
    <row r="9" spans="1:11" ht="68.400000000000006" customHeight="1" x14ac:dyDescent="0.3">
      <c r="A9" s="430" t="str">
        <f>Parametrai!C6</f>
        <v>VERSLO PLANAS, TEIKIAMAS PAGAL SŪDUVOS VIETOS VEIKLOS GRUPĖS VIETOS PLĖTROS STRATEGIJOS PRIEMONĘ „"Sūduvos VVG 2023-2027 m. vietos plėtros strategija"
Nr. 20VS-PV-23-1-01829-PR001“ (PRIEMONĖS PAVADINIMAS) Nr. "VERSLO KŪRIMAS IR PLĖTRA" NR. KAZL-LEADER-20VVG-03-01</v>
      </c>
      <c r="B9" s="430"/>
      <c r="C9" s="430"/>
      <c r="D9" s="430"/>
      <c r="E9" s="430"/>
      <c r="G9" s="276"/>
    </row>
    <row r="10" spans="1:11" ht="10.199999999999999" customHeight="1" x14ac:dyDescent="0.3">
      <c r="A10" s="59"/>
      <c r="G10" s="276"/>
    </row>
    <row r="11" spans="1:11" s="65" customFormat="1" ht="14.85" customHeight="1" x14ac:dyDescent="0.3">
      <c r="A11" s="59"/>
      <c r="B11" s="63"/>
      <c r="C11" s="310"/>
      <c r="D11" s="63"/>
      <c r="E11" s="63"/>
      <c r="G11" s="93" t="str">
        <f>IF(C11="","Klaida! Įveskite datą.","ok")</f>
        <v>Klaida! Įveskite datą.</v>
      </c>
      <c r="H11" s="62"/>
      <c r="I11" s="62"/>
      <c r="J11" s="62"/>
      <c r="K11" s="62"/>
    </row>
    <row r="12" spans="1:11" s="65" customFormat="1" ht="14.85" customHeight="1" x14ac:dyDescent="0.3">
      <c r="A12" s="63"/>
      <c r="B12" s="63"/>
      <c r="C12" s="69" t="s">
        <v>291</v>
      </c>
      <c r="D12" s="63"/>
      <c r="E12" s="63"/>
      <c r="G12" s="276"/>
      <c r="H12" s="62"/>
      <c r="I12" s="62"/>
      <c r="J12" s="62"/>
      <c r="K12" s="62"/>
    </row>
    <row r="13" spans="1:11" s="65" customFormat="1" ht="15.6" x14ac:dyDescent="0.3">
      <c r="A13" s="59"/>
      <c r="B13" s="63"/>
      <c r="C13" s="311"/>
      <c r="D13" s="63"/>
      <c r="E13" s="63"/>
      <c r="G13" s="276"/>
      <c r="H13" s="62"/>
      <c r="I13" s="62"/>
      <c r="J13" s="62"/>
      <c r="K13" s="62"/>
    </row>
    <row r="14" spans="1:11" ht="15.6" x14ac:dyDescent="0.3">
      <c r="A14" s="59"/>
      <c r="C14" s="70" t="s">
        <v>292</v>
      </c>
      <c r="D14" s="69"/>
      <c r="G14" s="276"/>
    </row>
    <row r="15" spans="1:11" x14ac:dyDescent="0.3">
      <c r="A15" s="130" t="s">
        <v>0</v>
      </c>
      <c r="B15" s="427" t="s">
        <v>222</v>
      </c>
      <c r="C15" s="427"/>
      <c r="D15" s="427"/>
      <c r="E15" s="427"/>
      <c r="G15" s="276"/>
    </row>
    <row r="16" spans="1:11" x14ac:dyDescent="0.3">
      <c r="A16" s="131" t="s">
        <v>1</v>
      </c>
      <c r="B16" s="416" t="s">
        <v>235</v>
      </c>
      <c r="C16" s="416"/>
      <c r="D16" s="416"/>
      <c r="E16" s="416"/>
      <c r="G16" s="276"/>
    </row>
    <row r="17" spans="1:7" ht="19.2" customHeight="1" x14ac:dyDescent="0.3">
      <c r="A17" s="75" t="s">
        <v>2</v>
      </c>
      <c r="B17" s="64" t="s">
        <v>301</v>
      </c>
      <c r="C17" s="312"/>
      <c r="D17" s="417"/>
      <c r="E17" s="418"/>
      <c r="G17" s="93" t="str">
        <f>IF(OR(C17="",C17&lt;'1'!C11),"Klaida: Neįvesta arba neteisingai įvesta data. Projektas gali būti įgyvendinamas tik po paraiškos pateikimo","ok")</f>
        <v>Klaida: Neįvesta arba neteisingai įvesta data. Projektas gali būti įgyvendinamas tik po paraiškos pateikimo</v>
      </c>
    </row>
    <row r="18" spans="1:7" ht="19.2" customHeight="1" x14ac:dyDescent="0.3">
      <c r="A18" s="75" t="s">
        <v>226</v>
      </c>
      <c r="B18" s="64" t="s">
        <v>300</v>
      </c>
      <c r="C18" s="312"/>
      <c r="D18" s="419"/>
      <c r="E18" s="420"/>
      <c r="G18" s="93" t="str">
        <f>IF(C17=0,"Klaida! Įveskite datą.",IF(OR(AND($C$18&gt;Parametrai!$C$16,Parametrai!$C$16&lt;&gt;0),C19&gt;Parametrai!$C$14),"Klaida: Neįvestas arba įvestas per ilgas projekto įgyvendinimo laikotarpis","ok"))</f>
        <v>Klaida! Įveskite datą.</v>
      </c>
    </row>
    <row r="19" spans="1:7" ht="19.2" customHeight="1" thickBot="1" x14ac:dyDescent="0.35">
      <c r="A19" s="79" t="s">
        <v>228</v>
      </c>
      <c r="B19" s="80" t="s">
        <v>296</v>
      </c>
      <c r="C19" s="354" t="str">
        <f>IF(C17=0,"-",IFERROR(IF(DAY(C18) &lt; DAY(C17), 1 + DATEDIF(C17, C18, "M") + (DAY(C18) - DAY(C17) + 1) / DAY(EOMONTH(C17,0)),DATEDIF(C17, C18, "M") + (DAY(C18) - DAY(C17) + 1) / DAY(EOMONTH(C17,0))),"-"))</f>
        <v>-</v>
      </c>
      <c r="D19" s="421"/>
      <c r="E19" s="422"/>
      <c r="G19" s="276" t="str">
        <f>_xlfn.CONCAT("Vėliausia projekto įgyvendinimo pabaigos data: ", TEXT(IF(Parametrai!$C$16&lt;&gt;0, MIN(Parametrai!$C$16, EDATE($C$17, Parametrai!$C$14)-1), EDATE($C$17, Parametrai!$C$14)-1), "yyyy-mm-dd"))</f>
        <v>Vėliausia projekto įgyvendinimo pabaigos data: 1901-12-30</v>
      </c>
    </row>
    <row r="20" spans="1:7" ht="15" thickTop="1" x14ac:dyDescent="0.3">
      <c r="A20" s="130" t="s">
        <v>3</v>
      </c>
      <c r="B20" s="428" t="s">
        <v>223</v>
      </c>
      <c r="C20" s="428"/>
      <c r="D20" s="428"/>
      <c r="E20" s="428"/>
      <c r="G20" s="276"/>
    </row>
    <row r="21" spans="1:7" x14ac:dyDescent="0.3">
      <c r="A21" s="73" t="s">
        <v>231</v>
      </c>
      <c r="B21" s="73" t="s">
        <v>224</v>
      </c>
      <c r="C21" s="423" t="s">
        <v>225</v>
      </c>
      <c r="D21" s="424"/>
      <c r="E21" s="425"/>
      <c r="G21" s="276" t="s">
        <v>747</v>
      </c>
    </row>
    <row r="22" spans="1:7" ht="28.8" x14ac:dyDescent="0.3">
      <c r="A22" s="73" t="s">
        <v>232</v>
      </c>
      <c r="B22" s="73" t="s">
        <v>227</v>
      </c>
      <c r="C22" s="307" t="s">
        <v>225</v>
      </c>
      <c r="D22" s="270" t="str">
        <f>IF(C22="Verslo pradžia","Ūkio subjekto registravimo data","")</f>
        <v/>
      </c>
      <c r="E22" s="357"/>
      <c r="G22" s="276" t="str">
        <f>IF(LEN(C22)&lt;=2,"Pildoma pasirinkus reikšmę iš sąrašo",IF(AND(C22="Verslo pradžia",E22=""),"Klaida! Įveskite ūkio subjekto registravimo pradžią","ok"))</f>
        <v>Pildoma pasirinkus reikšmę iš sąrašo</v>
      </c>
    </row>
    <row r="23" spans="1:7" ht="14.7" customHeight="1" x14ac:dyDescent="0.3">
      <c r="A23" s="73" t="s">
        <v>4</v>
      </c>
      <c r="B23" s="73" t="s">
        <v>229</v>
      </c>
      <c r="C23" s="415" t="s">
        <v>225</v>
      </c>
      <c r="D23" s="415"/>
      <c r="E23" s="415"/>
      <c r="G23" s="276" t="s">
        <v>941</v>
      </c>
    </row>
    <row r="24" spans="1:7" x14ac:dyDescent="0.3">
      <c r="A24" s="63" t="s">
        <v>359</v>
      </c>
      <c r="B24" s="63" t="s">
        <v>356</v>
      </c>
      <c r="C24" s="355" t="str" cm="1">
        <f t="array" ref="C24">IFERROR(_xlfn.UNIQUE(_xlfn._xlws.FILTER('4'!D:D, ('4'!$B:$B="Veiklos kodas ir pavadinimas pagal EVRK")*('4'!$D:$D&lt;&gt;"")))," –")</f>
        <v xml:space="preserve"> –</v>
      </c>
      <c r="D24" s="356"/>
      <c r="E24" s="356"/>
      <c r="G24" s="292" t="s">
        <v>940</v>
      </c>
    </row>
    <row r="25" spans="1:7" x14ac:dyDescent="0.3">
      <c r="C25" s="276"/>
      <c r="D25" s="277"/>
      <c r="E25" s="277"/>
      <c r="G25" s="276"/>
    </row>
    <row r="26" spans="1:7" x14ac:dyDescent="0.3">
      <c r="C26" s="276"/>
      <c r="D26" s="277"/>
      <c r="E26" s="277"/>
      <c r="G26" s="291"/>
    </row>
    <row r="27" spans="1:7" x14ac:dyDescent="0.3">
      <c r="C27" s="276"/>
      <c r="D27" s="278"/>
      <c r="E27" s="278"/>
      <c r="G27" s="291"/>
    </row>
    <row r="28" spans="1:7" x14ac:dyDescent="0.3">
      <c r="C28" s="276"/>
      <c r="D28" s="277"/>
      <c r="E28" s="277"/>
      <c r="G28" s="291"/>
    </row>
    <row r="29" spans="1:7" x14ac:dyDescent="0.3">
      <c r="C29" s="276"/>
      <c r="D29" s="277"/>
      <c r="E29" s="277"/>
      <c r="G29" s="291"/>
    </row>
    <row r="30" spans="1:7" x14ac:dyDescent="0.3">
      <c r="C30" s="276"/>
      <c r="D30" s="277"/>
      <c r="E30" s="277"/>
      <c r="G30" s="291"/>
    </row>
    <row r="31" spans="1:7" x14ac:dyDescent="0.3">
      <c r="C31" s="276"/>
      <c r="D31" s="277"/>
      <c r="E31" s="277"/>
      <c r="G31" s="291"/>
    </row>
    <row r="32" spans="1:7" x14ac:dyDescent="0.3">
      <c r="C32" s="276"/>
      <c r="D32" s="277"/>
      <c r="E32" s="277"/>
      <c r="G32" s="291"/>
    </row>
    <row r="33" spans="3:7" x14ac:dyDescent="0.3">
      <c r="C33" s="276"/>
      <c r="D33" s="277"/>
      <c r="E33" s="277"/>
      <c r="G33" s="291"/>
    </row>
    <row r="34" spans="3:7" x14ac:dyDescent="0.3">
      <c r="C34" s="62"/>
      <c r="D34" s="62"/>
      <c r="E34" s="62"/>
    </row>
    <row r="35" spans="3:7" x14ac:dyDescent="0.3">
      <c r="C35" s="62"/>
      <c r="D35" s="62"/>
      <c r="E35" s="62"/>
    </row>
  </sheetData>
  <sheetProtection algorithmName="SHA-512" hashValue="g1IP4BDByubTVBYqilq0tVsINSWWFVVKhL9C6b8ihs/YQiFGiy+HaFwUiCuriiP/Sw+S7tdOBwsEBHvnQNjufQ==" saltValue="lUm5Fjra9576LnfVEvjNJg==" spinCount="100000" sheet="1" objects="1" scenarios="1" formatRows="0"/>
  <mergeCells count="10">
    <mergeCell ref="C23:E23"/>
    <mergeCell ref="B16:E16"/>
    <mergeCell ref="D17:E19"/>
    <mergeCell ref="C21:E21"/>
    <mergeCell ref="A2:E2"/>
    <mergeCell ref="B15:E15"/>
    <mergeCell ref="B20:E20"/>
    <mergeCell ref="A4:E4"/>
    <mergeCell ref="A9:E9"/>
    <mergeCell ref="A7:E7"/>
  </mergeCells>
  <conditionalFormatting sqref="A24:A35">
    <cfRule type="expression" dxfId="114" priority="5">
      <formula>AND($C24&lt;&gt;0,$C25=0)</formula>
    </cfRule>
    <cfRule type="expression" dxfId="113" priority="6">
      <formula>$C24&lt;&gt;0</formula>
    </cfRule>
  </conditionalFormatting>
  <conditionalFormatting sqref="B24:B35">
    <cfRule type="expression" dxfId="112" priority="8">
      <formula>AND($C24&lt;&gt;0,$C25=0)</formula>
    </cfRule>
  </conditionalFormatting>
  <conditionalFormatting sqref="C24:C33">
    <cfRule type="expression" dxfId="111" priority="1">
      <formula>$C24&lt;&gt;0</formula>
    </cfRule>
  </conditionalFormatting>
  <conditionalFormatting sqref="D22">
    <cfRule type="expression" dxfId="110" priority="2">
      <formula>$C22&lt;&gt;0</formula>
    </cfRule>
    <cfRule type="expression" dxfId="109" priority="105">
      <formula>$C27&lt;&gt;0</formula>
    </cfRule>
  </conditionalFormatting>
  <conditionalFormatting sqref="D24:D33">
    <cfRule type="expression" dxfId="108" priority="9">
      <formula>$C24&lt;&gt;0</formula>
    </cfRule>
  </conditionalFormatting>
  <conditionalFormatting sqref="E22">
    <cfRule type="expression" dxfId="107" priority="107">
      <formula>$C27&lt;&gt;0</formula>
    </cfRule>
  </conditionalFormatting>
  <conditionalFormatting sqref="E24:E33">
    <cfRule type="expression" dxfId="106" priority="11">
      <formula>$C24&lt;&gt;0</formula>
    </cfRule>
  </conditionalFormatting>
  <conditionalFormatting sqref="G2:G33">
    <cfRule type="expression" dxfId="10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formula1>C17</formula1>
    </dataValidation>
    <dataValidation type="date" operator="greaterThan" allowBlank="1" showInputMessage="1" showErrorMessage="1" error="Įveskite datą formatu yyyy-mm-dd. Ji turi būti didesnė už galutinę paraiškos pateikimo datą." prompt="Datos formatas: _x000a_yyyy-mm-dd" sqref="C17">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Konstantos!$A$13:$A$15</xm:f>
          </x14:formula1>
          <xm:sqref>C23:E23</xm:sqref>
        </x14:dataValidation>
        <x14:dataValidation type="list" allowBlank="1" showInputMessage="1" showErrorMessage="1">
          <x14:formula1>
            <xm:f>Konstantos!$A$8:$A$10</xm:f>
          </x14:formula1>
          <xm:sqref>C22</xm:sqref>
        </x14:dataValidation>
        <x14:dataValidation type="list" allowBlank="1" showInputMessage="1" showErrorMessage="1">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6">
    <tabColor theme="9" tint="-0.249977111117893"/>
    <pageSetUpPr fitToPage="1"/>
  </sheetPr>
  <dimension ref="A1:M29"/>
  <sheetViews>
    <sheetView zoomScale="69" zoomScaleNormal="130" workbookViewId="0">
      <selection activeCell="C19" sqref="C19:D19"/>
    </sheetView>
  </sheetViews>
  <sheetFormatPr defaultColWidth="8.88671875" defaultRowHeight="14.4" x14ac:dyDescent="0.3"/>
  <cols>
    <col min="1" max="1" width="8.109375" style="67" customWidth="1"/>
    <col min="2" max="2" width="28.6640625" style="67" customWidth="1"/>
    <col min="3" max="3" width="10.5546875" style="67" customWidth="1"/>
    <col min="4" max="4" width="9" style="67" customWidth="1"/>
    <col min="5" max="11" width="9" style="66" customWidth="1"/>
    <col min="12" max="12" width="4.44140625" style="66" customWidth="1"/>
    <col min="13" max="13" width="47.5546875" style="66" customWidth="1"/>
    <col min="14" max="16384" width="8.88671875" style="66"/>
  </cols>
  <sheetData>
    <row r="1" spans="1:13" s="62" customFormat="1" ht="14.85" customHeight="1" x14ac:dyDescent="0.3">
      <c r="A1" s="130" t="s">
        <v>7</v>
      </c>
      <c r="B1" s="439" t="s">
        <v>670</v>
      </c>
      <c r="C1" s="440"/>
      <c r="D1" s="440"/>
      <c r="E1" s="440"/>
      <c r="F1" s="440"/>
      <c r="G1" s="440"/>
      <c r="H1" s="440"/>
      <c r="I1" s="440"/>
      <c r="J1" s="440"/>
      <c r="K1" s="441"/>
      <c r="M1" s="290" t="s">
        <v>293</v>
      </c>
    </row>
    <row r="2" spans="1:13" s="62" customFormat="1" ht="144" customHeight="1" x14ac:dyDescent="0.3">
      <c r="A2" s="64" t="s">
        <v>244</v>
      </c>
      <c r="B2" s="64" t="s">
        <v>319</v>
      </c>
      <c r="C2" s="432"/>
      <c r="D2" s="432"/>
      <c r="E2" s="432"/>
      <c r="F2" s="432"/>
      <c r="G2" s="432"/>
      <c r="H2" s="432"/>
      <c r="I2" s="432"/>
      <c r="J2" s="432"/>
      <c r="K2" s="432"/>
      <c r="M2" s="295" t="s">
        <v>942</v>
      </c>
    </row>
    <row r="3" spans="1:13" s="62" customFormat="1" ht="144" customHeight="1" x14ac:dyDescent="0.3">
      <c r="A3" s="64" t="s">
        <v>245</v>
      </c>
      <c r="B3" s="64" t="s">
        <v>233</v>
      </c>
      <c r="C3" s="432"/>
      <c r="D3" s="432"/>
      <c r="E3" s="432"/>
      <c r="F3" s="432"/>
      <c r="G3" s="432"/>
      <c r="H3" s="432"/>
      <c r="I3" s="432"/>
      <c r="J3" s="432"/>
      <c r="K3" s="432"/>
      <c r="M3" s="293" t="s">
        <v>478</v>
      </c>
    </row>
    <row r="4" spans="1:13" s="62" customFormat="1" ht="9.6" customHeight="1" x14ac:dyDescent="0.3">
      <c r="M4" s="66"/>
    </row>
    <row r="5" spans="1:13" ht="30" customHeight="1" x14ac:dyDescent="0.3">
      <c r="A5" s="130" t="s">
        <v>8</v>
      </c>
      <c r="B5" s="433" t="s">
        <v>672</v>
      </c>
      <c r="C5" s="434"/>
      <c r="D5" s="434"/>
      <c r="E5" s="434"/>
      <c r="F5" s="434"/>
      <c r="G5" s="434"/>
      <c r="H5" s="434"/>
      <c r="I5" s="434"/>
      <c r="J5" s="434"/>
      <c r="K5" s="434"/>
    </row>
    <row r="6" spans="1:13" ht="14.85" customHeight="1" x14ac:dyDescent="0.3">
      <c r="A6" s="130" t="s">
        <v>246</v>
      </c>
      <c r="B6" s="428" t="s">
        <v>320</v>
      </c>
      <c r="C6" s="428"/>
      <c r="D6" s="428"/>
      <c r="E6" s="428"/>
      <c r="F6" s="428"/>
      <c r="G6" s="428"/>
      <c r="H6" s="428"/>
      <c r="I6" s="428"/>
      <c r="J6" s="428"/>
      <c r="K6" s="428"/>
    </row>
    <row r="7" spans="1:13" x14ac:dyDescent="0.3">
      <c r="A7" s="130" t="s">
        <v>290</v>
      </c>
      <c r="B7" s="468" t="s">
        <v>309</v>
      </c>
      <c r="C7" s="468"/>
      <c r="D7" s="468"/>
      <c r="E7" s="468"/>
      <c r="F7" s="468"/>
      <c r="G7" s="468"/>
      <c r="H7" s="468"/>
      <c r="I7" s="468"/>
      <c r="J7" s="468"/>
      <c r="K7" s="468"/>
      <c r="M7" s="278"/>
    </row>
    <row r="8" spans="1:13" ht="63" customHeight="1" x14ac:dyDescent="0.3">
      <c r="A8" s="438" t="s">
        <v>304</v>
      </c>
      <c r="B8" s="438"/>
      <c r="C8" s="438"/>
      <c r="D8" s="438"/>
      <c r="E8" s="438"/>
      <c r="F8" s="438"/>
      <c r="G8" s="438"/>
      <c r="H8" s="438"/>
      <c r="I8" s="438"/>
      <c r="J8" s="438"/>
      <c r="K8" s="438"/>
      <c r="M8" s="278"/>
    </row>
    <row r="9" spans="1:13" ht="30.6" customHeight="1" x14ac:dyDescent="0.3">
      <c r="A9" s="459" t="s">
        <v>22</v>
      </c>
      <c r="B9" s="461" t="s">
        <v>44</v>
      </c>
      <c r="C9" s="135" t="str">
        <f>IF(AND('1'!$C$22="Verslo pradžia",YEAR('1'!$E$22)=YEAR('1'!$C$11)),"Pradžios metai","Ataskaitiniai metai")</f>
        <v>Ataskaitiniai metai</v>
      </c>
      <c r="D9" s="463" t="s">
        <v>12</v>
      </c>
      <c r="E9" s="464"/>
      <c r="F9" s="464"/>
      <c r="G9" s="464"/>
      <c r="H9" s="464"/>
      <c r="I9" s="464"/>
      <c r="J9" s="464"/>
      <c r="K9" s="465"/>
      <c r="M9" s="278"/>
    </row>
    <row r="10" spans="1:13" ht="15" thickBot="1" x14ac:dyDescent="0.35">
      <c r="A10" s="460"/>
      <c r="B10" s="462"/>
      <c r="C10" s="358">
        <f>IF(C9="Pradžios metai",YEAR('1'!$E$22),IF((YEAR('1'!$C$11)-1)+COUNT(B10:$B10)&gt;YEAR('1'!$C$18)+Parametrai!$C$15,"-",(YEAR('1'!$C$11)-1)+COUNT(B10:$B10)))</f>
        <v>1899</v>
      </c>
      <c r="D10" s="358">
        <f>IF(D9="Pradžios metai",YEAR('1'!$E$22),IF((YEAR('1'!$C$11)-1)+COUNT($B10:C10)&gt;YEAR('1'!$C$18)+Parametrai!$C$15,"-",(YEAR('1'!$C$11)-1)+COUNT($B10:C10)))</f>
        <v>1900</v>
      </c>
      <c r="E10" s="358">
        <f>IF(E9="Pradžios metai",YEAR('1'!$E$22),IF((YEAR('1'!$C$11)-1)+COUNT($B10:D10)&gt;YEAR('1'!$C$18)+Parametrai!$C$15,"-",(YEAR('1'!$C$11)-1)+COUNT($B10:D10)))</f>
        <v>1901</v>
      </c>
      <c r="F10" s="358">
        <f>IF(F9="Pradžios metai",YEAR('1'!$E$22),IF((YEAR('1'!$C$11)-1)+COUNT($B10:E10)&gt;YEAR('1'!$C$18)+Parametrai!$C$15,"-",(YEAR('1'!$C$11)-1)+COUNT($B10:E10)))</f>
        <v>1902</v>
      </c>
      <c r="G10" s="358">
        <f>IF(G9="Pradžios metai",YEAR('1'!$E$22),IF((YEAR('1'!$C$11)-1)+COUNT($B10:F10)&gt;YEAR('1'!$C$18)+Parametrai!$C$15,"-",(YEAR('1'!$C$11)-1)+COUNT($B10:F10)))</f>
        <v>1903</v>
      </c>
      <c r="H10" s="358" t="str">
        <f>IF(H9="Pradžios metai",YEAR('1'!$E$22),IF((YEAR('1'!$C$11)-1)+COUNT($B10:G10)&gt;YEAR('1'!$C$18)+Parametrai!$C$15,"-",(YEAR('1'!$C$11)-1)+COUNT($B10:G10)))</f>
        <v>-</v>
      </c>
      <c r="I10" s="358" t="str">
        <f>IF(I9="Pradžios metai",YEAR('1'!$E$22),IF((YEAR('1'!$C$11)-1)+COUNT($B10:H10)&gt;YEAR('1'!$C$18)+Parametrai!$C$15,"-",(YEAR('1'!$C$11)-1)+COUNT($B10:H10)))</f>
        <v>-</v>
      </c>
      <c r="J10" s="396"/>
      <c r="K10" s="396"/>
      <c r="M10" s="278"/>
    </row>
    <row r="11" spans="1:13" ht="29.4" thickTop="1" x14ac:dyDescent="0.3">
      <c r="A11" s="68" t="s">
        <v>321</v>
      </c>
      <c r="B11" s="68" t="s">
        <v>311</v>
      </c>
      <c r="C11" s="313"/>
      <c r="D11" s="313"/>
      <c r="E11" s="313"/>
      <c r="F11" s="313"/>
      <c r="G11" s="313"/>
      <c r="H11" s="313"/>
      <c r="I11" s="313"/>
      <c r="J11" s="397"/>
      <c r="K11" s="397"/>
      <c r="M11" s="278"/>
    </row>
    <row r="12" spans="1:13" ht="28.8" x14ac:dyDescent="0.3">
      <c r="A12" s="64" t="s">
        <v>324</v>
      </c>
      <c r="B12" s="64" t="s">
        <v>310</v>
      </c>
      <c r="C12" s="359" t="str">
        <f>IFERROR(C13/C11,"-")</f>
        <v>-</v>
      </c>
      <c r="D12" s="314"/>
      <c r="E12" s="314"/>
      <c r="F12" s="314"/>
      <c r="G12" s="314"/>
      <c r="H12" s="314"/>
      <c r="I12" s="314"/>
      <c r="J12" s="398"/>
      <c r="K12" s="398"/>
      <c r="M12" s="278"/>
    </row>
    <row r="13" spans="1:13" ht="28.8" x14ac:dyDescent="0.3">
      <c r="A13" s="64" t="s">
        <v>325</v>
      </c>
      <c r="B13" s="64" t="s">
        <v>312</v>
      </c>
      <c r="C13" s="314"/>
      <c r="D13" s="360">
        <f>D11*D12</f>
        <v>0</v>
      </c>
      <c r="E13" s="360">
        <f t="shared" ref="E13:K13" si="0">E11*E12</f>
        <v>0</v>
      </c>
      <c r="F13" s="360">
        <f t="shared" si="0"/>
        <v>0</v>
      </c>
      <c r="G13" s="360">
        <f t="shared" si="0"/>
        <v>0</v>
      </c>
      <c r="H13" s="360">
        <f t="shared" si="0"/>
        <v>0</v>
      </c>
      <c r="I13" s="360">
        <f t="shared" si="0"/>
        <v>0</v>
      </c>
      <c r="J13" s="360">
        <f t="shared" si="0"/>
        <v>0</v>
      </c>
      <c r="K13" s="360">
        <f t="shared" si="0"/>
        <v>0</v>
      </c>
      <c r="M13" s="278" t="s">
        <v>943</v>
      </c>
    </row>
    <row r="14" spans="1:13" ht="29.4" thickBot="1" x14ac:dyDescent="0.35">
      <c r="A14" s="80" t="s">
        <v>326</v>
      </c>
      <c r="B14" s="80" t="s">
        <v>323</v>
      </c>
      <c r="C14" s="435"/>
      <c r="D14" s="436"/>
      <c r="E14" s="436"/>
      <c r="F14" s="436"/>
      <c r="G14" s="436"/>
      <c r="H14" s="436"/>
      <c r="I14" s="436"/>
      <c r="J14" s="437"/>
      <c r="K14" s="437"/>
      <c r="M14" s="291" t="s">
        <v>322</v>
      </c>
    </row>
    <row r="15" spans="1:13" ht="7.2" customHeight="1" thickTop="1" x14ac:dyDescent="0.3">
      <c r="B15" s="66"/>
      <c r="M15" s="278"/>
    </row>
    <row r="16" spans="1:13" ht="14.85" customHeight="1" x14ac:dyDescent="0.3">
      <c r="A16" s="130" t="s">
        <v>327</v>
      </c>
      <c r="B16" s="468" t="s">
        <v>318</v>
      </c>
      <c r="C16" s="468"/>
      <c r="D16" s="468"/>
      <c r="E16" s="468"/>
      <c r="F16" s="468"/>
      <c r="G16" s="468"/>
      <c r="H16" s="468"/>
      <c r="I16" s="468"/>
      <c r="J16" s="468"/>
      <c r="K16" s="468"/>
      <c r="M16" s="278"/>
    </row>
    <row r="17" spans="1:13" ht="40.950000000000003" customHeight="1" x14ac:dyDescent="0.3">
      <c r="A17" s="456" t="s">
        <v>944</v>
      </c>
      <c r="B17" s="456"/>
      <c r="C17" s="456"/>
      <c r="D17" s="456"/>
      <c r="E17" s="456"/>
      <c r="F17" s="456"/>
      <c r="G17" s="456"/>
      <c r="H17" s="456"/>
      <c r="I17" s="456"/>
      <c r="J17" s="456"/>
      <c r="K17" s="456"/>
      <c r="M17" s="278"/>
    </row>
    <row r="18" spans="1:13" ht="52.2" customHeight="1" thickBot="1" x14ac:dyDescent="0.35">
      <c r="A18" s="132" t="s">
        <v>22</v>
      </c>
      <c r="B18" s="133" t="s">
        <v>308</v>
      </c>
      <c r="C18" s="451" t="s">
        <v>307</v>
      </c>
      <c r="D18" s="451"/>
      <c r="E18" s="451" t="s">
        <v>313</v>
      </c>
      <c r="F18" s="451"/>
      <c r="G18" s="133" t="s">
        <v>317</v>
      </c>
      <c r="H18" s="451" t="s">
        <v>305</v>
      </c>
      <c r="I18" s="451"/>
      <c r="J18" s="457" t="s">
        <v>306</v>
      </c>
      <c r="K18" s="458"/>
      <c r="M18" s="278"/>
    </row>
    <row r="19" spans="1:13" ht="24.6" thickTop="1" x14ac:dyDescent="0.3">
      <c r="A19" s="266" t="s">
        <v>328</v>
      </c>
      <c r="B19" s="315"/>
      <c r="C19" s="454" t="s">
        <v>225</v>
      </c>
      <c r="D19" s="454"/>
      <c r="E19" s="452"/>
      <c r="F19" s="452"/>
      <c r="G19" s="318"/>
      <c r="H19" s="466"/>
      <c r="I19" s="467"/>
      <c r="J19" s="447"/>
      <c r="K19" s="447"/>
      <c r="M19" s="278" t="s">
        <v>945</v>
      </c>
    </row>
    <row r="20" spans="1:13" x14ac:dyDescent="0.3">
      <c r="A20" s="266" t="s">
        <v>329</v>
      </c>
      <c r="B20" s="316"/>
      <c r="C20" s="449" t="s">
        <v>225</v>
      </c>
      <c r="D20" s="449"/>
      <c r="E20" s="453"/>
      <c r="F20" s="453"/>
      <c r="G20" s="319"/>
      <c r="H20" s="442"/>
      <c r="I20" s="443"/>
      <c r="J20" s="448"/>
      <c r="K20" s="448"/>
      <c r="M20" s="278"/>
    </row>
    <row r="21" spans="1:13" x14ac:dyDescent="0.3">
      <c r="A21" s="266" t="s">
        <v>330</v>
      </c>
      <c r="B21" s="316"/>
      <c r="C21" s="449" t="s">
        <v>225</v>
      </c>
      <c r="D21" s="449"/>
      <c r="E21" s="453"/>
      <c r="F21" s="453"/>
      <c r="G21" s="319"/>
      <c r="H21" s="442"/>
      <c r="I21" s="443"/>
      <c r="J21" s="448"/>
      <c r="K21" s="448"/>
      <c r="M21" s="278"/>
    </row>
    <row r="22" spans="1:13" x14ac:dyDescent="0.3">
      <c r="A22" s="266" t="s">
        <v>331</v>
      </c>
      <c r="B22" s="316"/>
      <c r="C22" s="449" t="s">
        <v>225</v>
      </c>
      <c r="D22" s="449"/>
      <c r="E22" s="453"/>
      <c r="F22" s="453"/>
      <c r="G22" s="319"/>
      <c r="H22" s="442"/>
      <c r="I22" s="443"/>
      <c r="J22" s="448"/>
      <c r="K22" s="448"/>
      <c r="M22" s="278"/>
    </row>
    <row r="23" spans="1:13" x14ac:dyDescent="0.3">
      <c r="A23" s="266" t="s">
        <v>332</v>
      </c>
      <c r="B23" s="316"/>
      <c r="C23" s="449" t="s">
        <v>225</v>
      </c>
      <c r="D23" s="449"/>
      <c r="E23" s="453"/>
      <c r="F23" s="453"/>
      <c r="G23" s="319"/>
      <c r="H23" s="442"/>
      <c r="I23" s="443"/>
      <c r="J23" s="448"/>
      <c r="K23" s="448"/>
      <c r="M23" s="278"/>
    </row>
    <row r="24" spans="1:13" x14ac:dyDescent="0.3">
      <c r="A24" s="266" t="s">
        <v>333</v>
      </c>
      <c r="B24" s="316"/>
      <c r="C24" s="449" t="s">
        <v>225</v>
      </c>
      <c r="D24" s="449"/>
      <c r="E24" s="453"/>
      <c r="F24" s="453"/>
      <c r="G24" s="319"/>
      <c r="H24" s="442"/>
      <c r="I24" s="443"/>
      <c r="J24" s="448"/>
      <c r="K24" s="448"/>
      <c r="M24" s="278"/>
    </row>
    <row r="25" spans="1:13" ht="15" thickBot="1" x14ac:dyDescent="0.35">
      <c r="A25" s="267" t="s">
        <v>334</v>
      </c>
      <c r="B25" s="317"/>
      <c r="C25" s="450" t="s">
        <v>225</v>
      </c>
      <c r="D25" s="450"/>
      <c r="E25" s="455"/>
      <c r="F25" s="455"/>
      <c r="G25" s="320"/>
      <c r="H25" s="444"/>
      <c r="I25" s="445"/>
      <c r="J25" s="446"/>
      <c r="K25" s="446"/>
      <c r="M25" s="278"/>
    </row>
    <row r="26" spans="1:13" ht="15" thickTop="1" x14ac:dyDescent="0.3">
      <c r="A26" s="66"/>
      <c r="B26" s="66"/>
      <c r="C26" s="66"/>
      <c r="D26" s="66"/>
    </row>
    <row r="27" spans="1:13" x14ac:dyDescent="0.3">
      <c r="A27" s="130" t="s">
        <v>339</v>
      </c>
      <c r="B27" s="439" t="s">
        <v>303</v>
      </c>
      <c r="C27" s="440"/>
      <c r="D27" s="440"/>
      <c r="E27" s="440"/>
      <c r="F27" s="440"/>
      <c r="G27" s="440"/>
      <c r="H27" s="440"/>
      <c r="I27" s="440"/>
      <c r="J27" s="440"/>
      <c r="K27" s="441"/>
    </row>
    <row r="28" spans="1:13" ht="144" customHeight="1" x14ac:dyDescent="0.3">
      <c r="A28" s="64" t="s">
        <v>340</v>
      </c>
      <c r="B28" s="83" t="s">
        <v>343</v>
      </c>
      <c r="C28" s="432"/>
      <c r="D28" s="432"/>
      <c r="E28" s="432"/>
      <c r="F28" s="432"/>
      <c r="G28" s="432"/>
      <c r="H28" s="432"/>
      <c r="I28" s="432"/>
      <c r="J28" s="432"/>
      <c r="K28" s="432"/>
      <c r="M28" s="293" t="s">
        <v>946</v>
      </c>
    </row>
    <row r="29" spans="1:13" ht="144" customHeight="1" x14ac:dyDescent="0.3">
      <c r="A29" s="64" t="s">
        <v>341</v>
      </c>
      <c r="B29" s="83" t="s">
        <v>342</v>
      </c>
      <c r="C29" s="432"/>
      <c r="D29" s="432"/>
      <c r="E29" s="432"/>
      <c r="F29" s="432"/>
      <c r="G29" s="432"/>
      <c r="H29" s="432"/>
      <c r="I29" s="432"/>
      <c r="J29" s="432"/>
      <c r="K29" s="432"/>
      <c r="M29" s="294" t="s">
        <v>405</v>
      </c>
    </row>
  </sheetData>
  <sheetProtection algorithmName="SHA-512" hashValue="gvbbyt1ellnh4vU4eNrNXtfllGDkg88rX+PUT5WMYn5Fla7G/hpN8BxtqYpUW8eL6zDpfxcbvEfPFVEX9UDjzw==" saltValue="IjkBWt/tklKo2LmWO/m9Gg==" spinCount="100000" sheet="1" objects="1" scenarios="1" formatRows="0"/>
  <mergeCells count="4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s>
  <phoneticPr fontId="12" type="noConversion"/>
  <conditionalFormatting sqref="C10:K10">
    <cfRule type="expression" dxfId="103" priority="1">
      <formula>C10="-"</formula>
    </cfRule>
  </conditionalFormatting>
  <dataValidations count="1">
    <dataValidation type="date" errorStyle="warning" allowBlank="1" showInputMessage="1" showErrorMessage="1" error="Neteisingai įvesta data. Datos formatas:_x000a_yyyy-mm-dd" prompt="Datos formatas:_x000a_yyyy-mm-dd" sqref="J19:K25">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7">
    <tabColor theme="9" tint="-0.249977111117893"/>
  </sheetPr>
  <dimension ref="A1:Q86"/>
  <sheetViews>
    <sheetView zoomScale="98" zoomScaleNormal="98" workbookViewId="0">
      <pane xSplit="3" ySplit="5" topLeftCell="D45" activePane="bottomRight" state="frozen"/>
      <selection pane="topRight" activeCell="D1" sqref="D1"/>
      <selection pane="bottomLeft" activeCell="A6" sqref="A6"/>
      <selection pane="bottomRight" activeCell="D68" sqref="D68:H68"/>
    </sheetView>
  </sheetViews>
  <sheetFormatPr defaultColWidth="8.6640625" defaultRowHeight="14.4" x14ac:dyDescent="0.3"/>
  <cols>
    <col min="1" max="1" width="5.44140625" style="8" customWidth="1"/>
    <col min="2" max="2" width="23.44140625" style="8" customWidth="1"/>
    <col min="3" max="3" width="8.33203125" style="9" customWidth="1"/>
    <col min="4" max="4" width="10.44140625" style="8" customWidth="1"/>
    <col min="5" max="8" width="10" style="8" customWidth="1"/>
    <col min="9" max="9" width="2" style="10" customWidth="1"/>
    <col min="10" max="10" width="50.44140625" style="20" customWidth="1"/>
    <col min="11" max="11" width="7.33203125" style="9" hidden="1" customWidth="1"/>
    <col min="12" max="12" width="7.33203125" style="11" hidden="1" customWidth="1"/>
    <col min="13" max="14" width="7.33203125" style="9" hidden="1" customWidth="1"/>
    <col min="15" max="15" width="7.33203125" hidden="1" customWidth="1"/>
    <col min="16" max="16" width="7.33203125" style="11" hidden="1" customWidth="1"/>
    <col min="17" max="16384" width="8.6640625" style="11"/>
  </cols>
  <sheetData>
    <row r="1" spans="1:16" ht="13.8" x14ac:dyDescent="0.3">
      <c r="J1" s="296" t="s">
        <v>293</v>
      </c>
      <c r="K1" s="86" t="s">
        <v>365</v>
      </c>
      <c r="L1" s="86" t="s">
        <v>366</v>
      </c>
      <c r="M1" s="86">
        <v>1</v>
      </c>
      <c r="N1" s="86">
        <v>2</v>
      </c>
      <c r="O1" s="100">
        <v>3</v>
      </c>
      <c r="P1" s="98"/>
    </row>
    <row r="2" spans="1:16" s="7" customFormat="1" ht="13.8" x14ac:dyDescent="0.3">
      <c r="A2" s="134" t="s">
        <v>101</v>
      </c>
      <c r="B2" s="469" t="s">
        <v>38</v>
      </c>
      <c r="C2" s="469"/>
      <c r="D2" s="469"/>
      <c r="E2" s="469"/>
      <c r="F2" s="469"/>
      <c r="G2" s="469"/>
      <c r="H2" s="469"/>
      <c r="I2" s="6"/>
      <c r="J2" s="297"/>
      <c r="K2" s="85"/>
      <c r="L2" s="86"/>
      <c r="M2" s="85"/>
      <c r="N2" s="85"/>
      <c r="O2" s="85"/>
      <c r="P2" s="99"/>
    </row>
    <row r="3" spans="1:16" ht="13.8" x14ac:dyDescent="0.3">
      <c r="J3" s="297"/>
      <c r="K3" s="86"/>
      <c r="L3" s="86"/>
      <c r="M3" s="85"/>
      <c r="N3" s="86"/>
      <c r="O3" s="100"/>
      <c r="P3" s="98"/>
    </row>
    <row r="4" spans="1:16" ht="22.8" x14ac:dyDescent="0.3">
      <c r="A4" s="470" t="s">
        <v>10</v>
      </c>
      <c r="B4" s="471"/>
      <c r="C4" s="474" t="s">
        <v>11</v>
      </c>
      <c r="D4" s="135" t="str">
        <f>IF(AND('1'!$C$22="Verslo pradžia",YEAR('1'!$E$22)=YEAR('1'!$C$11)),"Pradžios metai","Ataskaitiniai metai")</f>
        <v>Ataskaitiniai metai</v>
      </c>
      <c r="E4" s="463" t="s">
        <v>12</v>
      </c>
      <c r="F4" s="464"/>
      <c r="G4" s="464"/>
      <c r="H4" s="464"/>
      <c r="I4" s="12"/>
      <c r="J4" s="297"/>
      <c r="K4" s="86"/>
      <c r="L4" s="86"/>
      <c r="M4" s="85"/>
      <c r="N4" s="86"/>
      <c r="O4" s="100"/>
      <c r="P4" s="98"/>
    </row>
    <row r="5" spans="1:16" thickBot="1" x14ac:dyDescent="0.35">
      <c r="A5" s="472"/>
      <c r="B5" s="473"/>
      <c r="C5" s="475"/>
      <c r="D5" s="358">
        <f>IF(D4="Pradžios metai",YEAR('1'!$E$22),IF((YEAR('1'!$C$11)-1)+COUNT($C5:C5)&gt;YEAR('1'!$C$18)+Parametrai!$C$15,"-",(YEAR('1'!$C$11)-1)+COUNT($C5:C5)))</f>
        <v>1899</v>
      </c>
      <c r="E5" s="358">
        <f>IF(E4="Pradžios metai",YEAR('1'!$E$22),IF((YEAR('1'!$C$11)-1)+COUNT($C5:D5)&gt;YEAR('1'!$C$18)+Parametrai!$C$15,"-",(YEAR('1'!$C$11)-1)+COUNT($C5:D5)))</f>
        <v>1900</v>
      </c>
      <c r="F5" s="358">
        <f>IF(F4="Pradžios metai",YEAR('1'!$E$22),IF((YEAR('1'!$C$11)-1)+COUNT($C5:E5)&gt;YEAR('1'!$C$18)+Parametrai!$C$15,"-",(YEAR('1'!$C$11)-1)+COUNT($C5:E5)))</f>
        <v>1901</v>
      </c>
      <c r="G5" s="358">
        <f>IF(G4="Pradžios metai",YEAR('1'!$E$22),IF((YEAR('1'!$C$11)-1)+COUNT($C5:F5)&gt;YEAR('1'!$C$18)+Parametrai!$C$15,"-",(YEAR('1'!$C$11)-1)+COUNT($C5:F5)))</f>
        <v>1902</v>
      </c>
      <c r="H5" s="358">
        <f>IF(H4="Pradžios metai",YEAR('1'!$E$22),IF((YEAR('1'!$C$11)-1)+COUNT($C5:G5)&gt;YEAR('1'!$C$18)+Parametrai!$C$15,"-",(YEAR('1'!$C$11)-1)+COUNT($C5:G5)))</f>
        <v>1903</v>
      </c>
      <c r="J5" s="297"/>
      <c r="K5" s="86"/>
      <c r="L5" s="105">
        <v>4</v>
      </c>
      <c r="M5" s="85"/>
      <c r="N5" s="86"/>
      <c r="O5" s="100"/>
      <c r="P5" s="98"/>
    </row>
    <row r="6" spans="1:16" thickTop="1" x14ac:dyDescent="0.3">
      <c r="A6" s="198" t="str">
        <f>_xlfn.CONCAT($L6, ".", $M6, IF($N6&lt;&gt;"", _xlfn.CONCAT(".", $N6), ""), ".")</f>
        <v>4.1.</v>
      </c>
      <c r="B6" s="198" t="s">
        <v>14</v>
      </c>
      <c r="C6" s="199" t="s">
        <v>15</v>
      </c>
      <c r="D6" s="200">
        <f>SUM(D7:D9)</f>
        <v>0</v>
      </c>
      <c r="E6" s="200">
        <f t="shared" ref="E6:H6" si="0">SUM(E7:E9)</f>
        <v>0</v>
      </c>
      <c r="F6" s="200">
        <f t="shared" si="0"/>
        <v>0</v>
      </c>
      <c r="G6" s="200">
        <f t="shared" si="0"/>
        <v>0</v>
      </c>
      <c r="H6" s="200">
        <f t="shared" si="0"/>
        <v>0</v>
      </c>
      <c r="J6" s="297"/>
      <c r="K6" s="101">
        <v>1</v>
      </c>
      <c r="L6" s="86">
        <f>+L5</f>
        <v>4</v>
      </c>
      <c r="M6" s="86">
        <f>COUNTIFS($K$1:$K6,1)</f>
        <v>1</v>
      </c>
      <c r="N6" s="86" t="str">
        <f>IF($K6=$N$1,IF($K6&lt;&gt;$K5, 1, N5+1),"")</f>
        <v/>
      </c>
      <c r="O6" s="86"/>
      <c r="P6" s="98" t="str">
        <f>CONCATENATE($L6, ".", $M6, IF($N6&lt;&gt;"", CONCATENATE(".", $N6), ""), ".")</f>
        <v>4.1.</v>
      </c>
    </row>
    <row r="7" spans="1:16" ht="13.8" x14ac:dyDescent="0.3">
      <c r="A7" s="137" t="str">
        <f>_xlfn.CONCAT($L7, ".", $M7, IF($N7&lt;&gt;"", _xlfn.CONCAT(".", $N7), ""), ".")</f>
        <v>4.1.1.</v>
      </c>
      <c r="B7" s="138" t="s">
        <v>352</v>
      </c>
      <c r="C7" s="139" t="s">
        <v>15</v>
      </c>
      <c r="D7" s="180">
        <f t="shared" ref="D7:H7" si="1">SUMIFS(D:D,$B:$B,"Pajamos (gamyba)")</f>
        <v>0</v>
      </c>
      <c r="E7" s="180">
        <f t="shared" si="1"/>
        <v>0</v>
      </c>
      <c r="F7" s="180">
        <f t="shared" si="1"/>
        <v>0</v>
      </c>
      <c r="G7" s="180">
        <f t="shared" si="1"/>
        <v>0</v>
      </c>
      <c r="H7" s="180">
        <f t="shared" si="1"/>
        <v>0</v>
      </c>
      <c r="J7" s="297"/>
      <c r="K7" s="101">
        <v>2</v>
      </c>
      <c r="L7" s="86">
        <f>+L6</f>
        <v>4</v>
      </c>
      <c r="M7" s="86">
        <f>COUNTIFS($K$1:$K7,1)</f>
        <v>1</v>
      </c>
      <c r="N7" s="86">
        <f t="shared" ref="N7:N16" si="2">IF($K7=$N$1,IF($K7&lt;&gt;$K6, 1, N6+1),"")</f>
        <v>1</v>
      </c>
      <c r="O7" s="86"/>
      <c r="P7" s="98" t="str">
        <f t="shared" ref="P7:P70" si="3">CONCATENATE($L7, ".", $M7, IF($N7&lt;&gt;"", CONCATENATE(".", $N7), ""), ".")</f>
        <v>4.1.1.</v>
      </c>
    </row>
    <row r="8" spans="1:16" ht="13.8" x14ac:dyDescent="0.3">
      <c r="A8" s="137" t="str">
        <f>_xlfn.CONCAT($L8, ".", $M8, IF($N8&lt;&gt;"", _xlfn.CONCAT(".", $N8), ""), ".")</f>
        <v>4.1.2.</v>
      </c>
      <c r="B8" s="138" t="s">
        <v>353</v>
      </c>
      <c r="C8" s="139" t="s">
        <v>15</v>
      </c>
      <c r="D8" s="181">
        <f t="shared" ref="D8:H8" si="4">SUMIFS(D:D,$B:$B,"Pajamos (paslaugos)")</f>
        <v>0</v>
      </c>
      <c r="E8" s="181">
        <f t="shared" si="4"/>
        <v>0</v>
      </c>
      <c r="F8" s="181">
        <f t="shared" si="4"/>
        <v>0</v>
      </c>
      <c r="G8" s="181">
        <f t="shared" si="4"/>
        <v>0</v>
      </c>
      <c r="H8" s="181">
        <f t="shared" si="4"/>
        <v>0</v>
      </c>
      <c r="J8" s="297"/>
      <c r="K8" s="101">
        <v>2</v>
      </c>
      <c r="L8" s="86">
        <f t="shared" ref="L8:L16" si="5">+L7</f>
        <v>4</v>
      </c>
      <c r="M8" s="86">
        <f>COUNTIFS($K$1:$K8,1)</f>
        <v>1</v>
      </c>
      <c r="N8" s="86">
        <f t="shared" si="2"/>
        <v>2</v>
      </c>
      <c r="O8" s="86"/>
      <c r="P8" s="98" t="str">
        <f t="shared" si="3"/>
        <v>4.1.2.</v>
      </c>
    </row>
    <row r="9" spans="1:16" thickBot="1" x14ac:dyDescent="0.35">
      <c r="A9" s="140" t="str">
        <f>_xlfn.CONCAT($L9, ".", $M9, IF($N9&lt;&gt;"", _xlfn.CONCAT(".", $N9), ""), ".")</f>
        <v>4.1.3.</v>
      </c>
      <c r="B9" s="141" t="s">
        <v>354</v>
      </c>
      <c r="C9" s="142" t="s">
        <v>15</v>
      </c>
      <c r="D9" s="182">
        <f t="shared" ref="D9:H9" si="6">SUMIFS(D:D,$B:$B,"Pajamos (kita veikla)")</f>
        <v>0</v>
      </c>
      <c r="E9" s="182">
        <f t="shared" si="6"/>
        <v>0</v>
      </c>
      <c r="F9" s="182">
        <f t="shared" si="6"/>
        <v>0</v>
      </c>
      <c r="G9" s="182">
        <f t="shared" si="6"/>
        <v>0</v>
      </c>
      <c r="H9" s="182">
        <f t="shared" si="6"/>
        <v>0</v>
      </c>
      <c r="J9" s="297"/>
      <c r="K9" s="101">
        <v>2</v>
      </c>
      <c r="L9" s="86">
        <f t="shared" si="5"/>
        <v>4</v>
      </c>
      <c r="M9" s="86">
        <f>COUNTIFS($K$1:$K9,1)</f>
        <v>1</v>
      </c>
      <c r="N9" s="86">
        <f t="shared" si="2"/>
        <v>3</v>
      </c>
      <c r="O9" s="86"/>
      <c r="P9" s="98" t="str">
        <f t="shared" si="3"/>
        <v>4.1.3.</v>
      </c>
    </row>
    <row r="10" spans="1:16" thickTop="1" x14ac:dyDescent="0.3">
      <c r="A10" s="54" t="str">
        <f>CONCATENATE($L10, ".", $M10, IF($N10&lt;&gt;"", CONCATENATE(".", $N10), ""), ".")</f>
        <v>4.2.</v>
      </c>
      <c r="B10" s="197" t="s">
        <v>362</v>
      </c>
      <c r="C10" s="95"/>
      <c r="D10" s="476"/>
      <c r="E10" s="476"/>
      <c r="F10" s="476"/>
      <c r="G10" s="476"/>
      <c r="H10" s="476"/>
      <c r="J10" s="297" t="s">
        <v>947</v>
      </c>
      <c r="K10" s="101">
        <v>1</v>
      </c>
      <c r="L10" s="86">
        <f t="shared" si="5"/>
        <v>4</v>
      </c>
      <c r="M10" s="86">
        <f>COUNTIFS($K$1:$K10,1)</f>
        <v>2</v>
      </c>
      <c r="N10" s="86" t="str">
        <f t="shared" si="2"/>
        <v/>
      </c>
      <c r="O10" s="86"/>
      <c r="P10" s="98" t="str">
        <f t="shared" si="3"/>
        <v>4.2.</v>
      </c>
    </row>
    <row r="11" spans="1:16" ht="13.8" x14ac:dyDescent="0.3">
      <c r="A11" s="44" t="str">
        <f>CONCATENATE($L11, ".", $M11, IF($N11&lt;&gt;"", CONCATENATE(".", $N11), ""), ".")</f>
        <v>4.2.1.</v>
      </c>
      <c r="B11" s="103" t="s">
        <v>357</v>
      </c>
      <c r="C11" s="94"/>
      <c r="D11" s="478"/>
      <c r="E11" s="478"/>
      <c r="F11" s="478"/>
      <c r="G11" s="478"/>
      <c r="H11" s="478"/>
      <c r="J11" s="297" t="s">
        <v>948</v>
      </c>
      <c r="K11" s="101">
        <v>2</v>
      </c>
      <c r="L11" s="86">
        <f t="shared" si="5"/>
        <v>4</v>
      </c>
      <c r="M11" s="86">
        <f>COUNTIFS($K$1:$K11,1)</f>
        <v>2</v>
      </c>
      <c r="N11" s="86">
        <f t="shared" si="2"/>
        <v>1</v>
      </c>
      <c r="O11" s="86"/>
      <c r="P11" s="98" t="str">
        <f t="shared" si="3"/>
        <v>4.2.1.</v>
      </c>
    </row>
    <row r="12" spans="1:16" ht="13.8" x14ac:dyDescent="0.3">
      <c r="A12" s="44" t="str">
        <f t="shared" ref="A12:A75" si="7">CONCATENATE($L12, ".", $M12, IF($N12&lt;&gt;"", CONCATENATE(".", $N12), ""), ".")</f>
        <v>4.2.2.</v>
      </c>
      <c r="B12" s="22" t="s">
        <v>17</v>
      </c>
      <c r="C12" s="308" t="s">
        <v>20</v>
      </c>
      <c r="D12" s="321"/>
      <c r="E12" s="321"/>
      <c r="F12" s="321"/>
      <c r="G12" s="321"/>
      <c r="H12" s="321"/>
      <c r="J12" s="298" t="s">
        <v>949</v>
      </c>
      <c r="K12" s="101">
        <v>2</v>
      </c>
      <c r="L12" s="86">
        <f t="shared" si="5"/>
        <v>4</v>
      </c>
      <c r="M12" s="86">
        <f>COUNTIFS($K$1:$K12,1)</f>
        <v>2</v>
      </c>
      <c r="N12" s="86">
        <f t="shared" si="2"/>
        <v>2</v>
      </c>
      <c r="O12" s="86"/>
      <c r="P12" s="98" t="str">
        <f t="shared" si="3"/>
        <v>4.2.2.</v>
      </c>
    </row>
    <row r="13" spans="1:16" ht="13.8" x14ac:dyDescent="0.3">
      <c r="A13" s="44" t="str">
        <f t="shared" si="7"/>
        <v>4.2.3.</v>
      </c>
      <c r="B13" s="22" t="s">
        <v>18</v>
      </c>
      <c r="C13" s="57" t="str">
        <f>+C12</f>
        <v>vnt.</v>
      </c>
      <c r="D13" s="321"/>
      <c r="E13" s="321"/>
      <c r="F13" s="321"/>
      <c r="G13" s="321"/>
      <c r="H13" s="321"/>
      <c r="J13" s="297" t="s">
        <v>950</v>
      </c>
      <c r="K13" s="101">
        <v>2</v>
      </c>
      <c r="L13" s="86">
        <f t="shared" si="5"/>
        <v>4</v>
      </c>
      <c r="M13" s="86">
        <f>COUNTIFS($K$1:$K13,1)</f>
        <v>2</v>
      </c>
      <c r="N13" s="86">
        <f t="shared" si="2"/>
        <v>3</v>
      </c>
      <c r="O13" s="86"/>
      <c r="P13" s="98" t="str">
        <f t="shared" si="3"/>
        <v>4.2.3.</v>
      </c>
    </row>
    <row r="14" spans="1:16" ht="13.8" x14ac:dyDescent="0.3">
      <c r="A14" s="44" t="str">
        <f t="shared" si="7"/>
        <v>4.2.4.</v>
      </c>
      <c r="B14" s="22" t="s">
        <v>19</v>
      </c>
      <c r="C14" s="14" t="str">
        <f>CONCATENATE("Eur/",C13)</f>
        <v>Eur/vnt.</v>
      </c>
      <c r="D14" s="361" t="str">
        <f>IFERROR(ROUND(D15/D13,2),"-")</f>
        <v>-</v>
      </c>
      <c r="E14" s="322"/>
      <c r="F14" s="322"/>
      <c r="G14" s="322"/>
      <c r="H14" s="322"/>
      <c r="J14" s="297" t="s">
        <v>951</v>
      </c>
      <c r="K14" s="101">
        <v>2</v>
      </c>
      <c r="L14" s="86">
        <f t="shared" si="5"/>
        <v>4</v>
      </c>
      <c r="M14" s="86">
        <f>COUNTIFS($K$1:$K14,1)</f>
        <v>2</v>
      </c>
      <c r="N14" s="86">
        <f t="shared" si="2"/>
        <v>4</v>
      </c>
      <c r="O14" s="86"/>
      <c r="P14" s="98" t="str">
        <f t="shared" si="3"/>
        <v>4.2.4.</v>
      </c>
    </row>
    <row r="15" spans="1:16" ht="13.8" x14ac:dyDescent="0.3">
      <c r="A15" s="44" t="str">
        <f t="shared" si="7"/>
        <v>4.2.5.</v>
      </c>
      <c r="B15" s="22" t="s">
        <v>358</v>
      </c>
      <c r="C15" s="14" t="s">
        <v>15</v>
      </c>
      <c r="D15" s="321"/>
      <c r="E15" s="362">
        <f t="shared" ref="E15:H15" si="8">ROUND(E13*E14,0)</f>
        <v>0</v>
      </c>
      <c r="F15" s="362">
        <f t="shared" si="8"/>
        <v>0</v>
      </c>
      <c r="G15" s="362">
        <f t="shared" si="8"/>
        <v>0</v>
      </c>
      <c r="H15" s="362">
        <f t="shared" si="8"/>
        <v>0</v>
      </c>
      <c r="J15" s="297"/>
      <c r="K15" s="101">
        <v>2</v>
      </c>
      <c r="L15" s="86">
        <f t="shared" si="5"/>
        <v>4</v>
      </c>
      <c r="M15" s="86">
        <f>COUNTIFS($K$1:$K15,1)</f>
        <v>2</v>
      </c>
      <c r="N15" s="86">
        <f t="shared" si="2"/>
        <v>5</v>
      </c>
      <c r="O15" s="86"/>
      <c r="P15" s="98" t="str">
        <f t="shared" si="3"/>
        <v>4.2.5.</v>
      </c>
    </row>
    <row r="16" spans="1:16" ht="30" customHeight="1" thickBot="1" x14ac:dyDescent="0.35">
      <c r="A16" s="104" t="str">
        <f t="shared" si="7"/>
        <v>4.2.6.</v>
      </c>
      <c r="B16" s="96" t="s">
        <v>367</v>
      </c>
      <c r="C16" s="97"/>
      <c r="D16" s="477"/>
      <c r="E16" s="477"/>
      <c r="F16" s="477"/>
      <c r="G16" s="477"/>
      <c r="H16" s="477"/>
      <c r="J16" s="297" t="s">
        <v>952</v>
      </c>
      <c r="K16" s="101">
        <v>2</v>
      </c>
      <c r="L16" s="86">
        <f t="shared" si="5"/>
        <v>4</v>
      </c>
      <c r="M16" s="86">
        <f>COUNTIFS($K$1:$K16,1)</f>
        <v>2</v>
      </c>
      <c r="N16" s="86">
        <f t="shared" si="2"/>
        <v>6</v>
      </c>
      <c r="O16" s="86"/>
      <c r="P16" s="98" t="str">
        <f t="shared" si="3"/>
        <v>4.2.6.</v>
      </c>
    </row>
    <row r="17" spans="1:17" ht="13.8" x14ac:dyDescent="0.3">
      <c r="A17" s="54" t="str">
        <f t="shared" si="7"/>
        <v>4.3.</v>
      </c>
      <c r="B17" s="197" t="s">
        <v>362</v>
      </c>
      <c r="C17" s="95"/>
      <c r="D17" s="481"/>
      <c r="E17" s="479"/>
      <c r="F17" s="479"/>
      <c r="G17" s="479"/>
      <c r="H17" s="479"/>
      <c r="J17" s="297" t="s">
        <v>947</v>
      </c>
      <c r="K17" s="101">
        <v>1</v>
      </c>
      <c r="L17" s="86">
        <f t="shared" ref="L17:L50" si="9">+L16</f>
        <v>4</v>
      </c>
      <c r="M17" s="86">
        <f>COUNTIFS($K$1:$K17,1)</f>
        <v>3</v>
      </c>
      <c r="N17" s="86" t="str">
        <f t="shared" ref="N17:N48" si="10">IF($K17=$N$1,IF($K17&lt;&gt;$K16, 1, N16+1),"")</f>
        <v/>
      </c>
      <c r="O17" s="86"/>
      <c r="P17" s="98" t="str">
        <f t="shared" si="3"/>
        <v>4.3.</v>
      </c>
    </row>
    <row r="18" spans="1:17" ht="13.8" x14ac:dyDescent="0.3">
      <c r="A18" s="44" t="str">
        <f t="shared" si="7"/>
        <v>4.3.1.</v>
      </c>
      <c r="B18" s="103" t="s">
        <v>357</v>
      </c>
      <c r="C18" s="94"/>
      <c r="D18" s="482"/>
      <c r="E18" s="480"/>
      <c r="F18" s="480"/>
      <c r="G18" s="480"/>
      <c r="H18" s="480"/>
      <c r="J18" s="297" t="s">
        <v>948</v>
      </c>
      <c r="K18" s="101">
        <v>2</v>
      </c>
      <c r="L18" s="86">
        <f t="shared" si="9"/>
        <v>4</v>
      </c>
      <c r="M18" s="86">
        <f>COUNTIFS($K$1:$K18,1)</f>
        <v>3</v>
      </c>
      <c r="N18" s="86">
        <f t="shared" si="10"/>
        <v>1</v>
      </c>
      <c r="O18" s="86"/>
      <c r="P18" s="98" t="str">
        <f t="shared" si="3"/>
        <v>4.3.1.</v>
      </c>
    </row>
    <row r="19" spans="1:17" ht="13.8" x14ac:dyDescent="0.3">
      <c r="A19" s="44" t="str">
        <f t="shared" si="7"/>
        <v>4.3.2.</v>
      </c>
      <c r="B19" s="13" t="s">
        <v>17</v>
      </c>
      <c r="C19" s="308" t="s">
        <v>20</v>
      </c>
      <c r="D19" s="321"/>
      <c r="E19" s="321"/>
      <c r="F19" s="321"/>
      <c r="G19" s="321"/>
      <c r="H19" s="321"/>
      <c r="J19" s="298" t="s">
        <v>949</v>
      </c>
      <c r="K19" s="101">
        <v>2</v>
      </c>
      <c r="L19" s="86">
        <f t="shared" si="9"/>
        <v>4</v>
      </c>
      <c r="M19" s="86">
        <f>COUNTIFS($K$1:$K19,1)</f>
        <v>3</v>
      </c>
      <c r="N19" s="86">
        <f t="shared" si="10"/>
        <v>2</v>
      </c>
      <c r="O19" s="86"/>
      <c r="P19" s="98" t="str">
        <f t="shared" si="3"/>
        <v>4.3.2.</v>
      </c>
    </row>
    <row r="20" spans="1:17" ht="13.8" x14ac:dyDescent="0.3">
      <c r="A20" s="44" t="str">
        <f t="shared" si="7"/>
        <v>4.3.3.</v>
      </c>
      <c r="B20" s="13" t="s">
        <v>18</v>
      </c>
      <c r="C20" s="57" t="str">
        <f>+C19</f>
        <v>vnt.</v>
      </c>
      <c r="D20" s="321"/>
      <c r="E20" s="321"/>
      <c r="F20" s="321"/>
      <c r="G20" s="321"/>
      <c r="H20" s="321"/>
      <c r="J20" s="297" t="s">
        <v>950</v>
      </c>
      <c r="K20" s="101">
        <v>2</v>
      </c>
      <c r="L20" s="86">
        <f t="shared" si="9"/>
        <v>4</v>
      </c>
      <c r="M20" s="86">
        <f>COUNTIFS($K$1:$K20,1)</f>
        <v>3</v>
      </c>
      <c r="N20" s="86">
        <f t="shared" si="10"/>
        <v>3</v>
      </c>
      <c r="O20" s="86"/>
      <c r="P20" s="98" t="str">
        <f t="shared" si="3"/>
        <v>4.3.3.</v>
      </c>
    </row>
    <row r="21" spans="1:17" ht="13.8" x14ac:dyDescent="0.3">
      <c r="A21" s="44" t="str">
        <f t="shared" si="7"/>
        <v>4.3.4.</v>
      </c>
      <c r="B21" s="13" t="s">
        <v>19</v>
      </c>
      <c r="C21" s="14" t="str">
        <f>CONCATENATE("Eur/",C20)</f>
        <v>Eur/vnt.</v>
      </c>
      <c r="D21" s="361" t="str">
        <f>IFERROR(ROUND(D22/D20,2),"-")</f>
        <v>-</v>
      </c>
      <c r="E21" s="322"/>
      <c r="F21" s="322"/>
      <c r="G21" s="322"/>
      <c r="H21" s="322"/>
      <c r="J21" s="297" t="s">
        <v>951</v>
      </c>
      <c r="K21" s="101">
        <v>2</v>
      </c>
      <c r="L21" s="86">
        <f t="shared" si="9"/>
        <v>4</v>
      </c>
      <c r="M21" s="86">
        <f>COUNTIFS($K$1:$K21,1)</f>
        <v>3</v>
      </c>
      <c r="N21" s="86">
        <f t="shared" si="10"/>
        <v>4</v>
      </c>
      <c r="O21" s="86"/>
      <c r="P21" s="98" t="str">
        <f t="shared" si="3"/>
        <v>4.3.4.</v>
      </c>
    </row>
    <row r="22" spans="1:17" ht="13.8" x14ac:dyDescent="0.3">
      <c r="A22" s="44" t="str">
        <f t="shared" si="7"/>
        <v>4.3.5.</v>
      </c>
      <c r="B22" s="13" t="s">
        <v>358</v>
      </c>
      <c r="C22" s="14" t="s">
        <v>15</v>
      </c>
      <c r="D22" s="321"/>
      <c r="E22" s="362">
        <f>ROUND(E20*E21,0)</f>
        <v>0</v>
      </c>
      <c r="F22" s="362">
        <f t="shared" ref="F22:H22" si="11">ROUND(F20*F21,0)</f>
        <v>0</v>
      </c>
      <c r="G22" s="362">
        <f t="shared" si="11"/>
        <v>0</v>
      </c>
      <c r="H22" s="362">
        <f t="shared" si="11"/>
        <v>0</v>
      </c>
      <c r="J22" s="297"/>
      <c r="K22" s="101">
        <v>2</v>
      </c>
      <c r="L22" s="86">
        <f t="shared" si="9"/>
        <v>4</v>
      </c>
      <c r="M22" s="86">
        <f>COUNTIFS($K$1:$K22,1)</f>
        <v>3</v>
      </c>
      <c r="N22" s="86">
        <f t="shared" si="10"/>
        <v>5</v>
      </c>
      <c r="O22" s="86"/>
      <c r="P22" s="98" t="str">
        <f t="shared" si="3"/>
        <v>4.3.5.</v>
      </c>
      <c r="Q22" s="101"/>
    </row>
    <row r="23" spans="1:17" ht="30" customHeight="1" thickBot="1" x14ac:dyDescent="0.35">
      <c r="A23" s="106" t="str">
        <f t="shared" si="7"/>
        <v>4.3.6.</v>
      </c>
      <c r="B23" s="107" t="s">
        <v>367</v>
      </c>
      <c r="C23" s="108"/>
      <c r="D23" s="485"/>
      <c r="E23" s="485"/>
      <c r="F23" s="485"/>
      <c r="G23" s="485"/>
      <c r="H23" s="485"/>
      <c r="J23" s="297" t="s">
        <v>952</v>
      </c>
      <c r="K23" s="101">
        <v>2</v>
      </c>
      <c r="L23" s="86">
        <f t="shared" si="9"/>
        <v>4</v>
      </c>
      <c r="M23" s="86">
        <f>COUNTIFS($K$1:$K23,1)</f>
        <v>3</v>
      </c>
      <c r="N23" s="86">
        <f t="shared" si="10"/>
        <v>6</v>
      </c>
      <c r="O23" s="86"/>
      <c r="P23" s="98" t="str">
        <f t="shared" si="3"/>
        <v>4.3.6.</v>
      </c>
      <c r="Q23" s="101"/>
    </row>
    <row r="24" spans="1:17" ht="13.8" x14ac:dyDescent="0.3">
      <c r="A24" s="54" t="str">
        <f t="shared" si="7"/>
        <v>4.4.</v>
      </c>
      <c r="B24" s="197" t="s">
        <v>362</v>
      </c>
      <c r="C24" s="95"/>
      <c r="D24" s="481"/>
      <c r="E24" s="479"/>
      <c r="F24" s="479"/>
      <c r="G24" s="479"/>
      <c r="H24" s="479"/>
      <c r="J24" s="297" t="s">
        <v>947</v>
      </c>
      <c r="K24" s="101">
        <v>1</v>
      </c>
      <c r="L24" s="86">
        <f t="shared" si="9"/>
        <v>4</v>
      </c>
      <c r="M24" s="86">
        <f>COUNTIFS($K$1:$K24,1)</f>
        <v>4</v>
      </c>
      <c r="N24" s="86" t="str">
        <f t="shared" si="10"/>
        <v/>
      </c>
      <c r="O24" s="86"/>
      <c r="P24" s="98" t="str">
        <f t="shared" si="3"/>
        <v>4.4.</v>
      </c>
      <c r="Q24" s="101"/>
    </row>
    <row r="25" spans="1:17" ht="13.8" x14ac:dyDescent="0.3">
      <c r="A25" s="44" t="str">
        <f t="shared" si="7"/>
        <v>4.4.1.</v>
      </c>
      <c r="B25" s="103" t="s">
        <v>357</v>
      </c>
      <c r="C25" s="94"/>
      <c r="D25" s="482"/>
      <c r="E25" s="480"/>
      <c r="F25" s="480"/>
      <c r="G25" s="480"/>
      <c r="H25" s="480"/>
      <c r="J25" s="297" t="s">
        <v>948</v>
      </c>
      <c r="K25" s="101">
        <v>2</v>
      </c>
      <c r="L25" s="86">
        <f t="shared" si="9"/>
        <v>4</v>
      </c>
      <c r="M25" s="86">
        <f>COUNTIFS($K$1:$K25,1)</f>
        <v>4</v>
      </c>
      <c r="N25" s="86">
        <f t="shared" si="10"/>
        <v>1</v>
      </c>
      <c r="O25" s="86"/>
      <c r="P25" s="98" t="str">
        <f t="shared" si="3"/>
        <v>4.4.1.</v>
      </c>
      <c r="Q25" s="101"/>
    </row>
    <row r="26" spans="1:17" ht="13.8" x14ac:dyDescent="0.3">
      <c r="A26" s="44" t="str">
        <f t="shared" si="7"/>
        <v>4.4.2.</v>
      </c>
      <c r="B26" s="13" t="s">
        <v>17</v>
      </c>
      <c r="C26" s="308" t="s">
        <v>20</v>
      </c>
      <c r="D26" s="321"/>
      <c r="E26" s="321"/>
      <c r="F26" s="321"/>
      <c r="G26" s="321"/>
      <c r="H26" s="321"/>
      <c r="J26" s="298" t="s">
        <v>949</v>
      </c>
      <c r="K26" s="101">
        <v>2</v>
      </c>
      <c r="L26" s="86">
        <f t="shared" si="9"/>
        <v>4</v>
      </c>
      <c r="M26" s="86">
        <f>COUNTIFS($K$1:$K26,1)</f>
        <v>4</v>
      </c>
      <c r="N26" s="86">
        <f t="shared" si="10"/>
        <v>2</v>
      </c>
      <c r="O26" s="86"/>
      <c r="P26" s="98" t="str">
        <f t="shared" si="3"/>
        <v>4.4.2.</v>
      </c>
      <c r="Q26" s="101"/>
    </row>
    <row r="27" spans="1:17" ht="13.8" x14ac:dyDescent="0.3">
      <c r="A27" s="44" t="str">
        <f t="shared" si="7"/>
        <v>4.4.3.</v>
      </c>
      <c r="B27" s="13" t="s">
        <v>18</v>
      </c>
      <c r="C27" s="57" t="str">
        <f>+C26</f>
        <v>vnt.</v>
      </c>
      <c r="D27" s="321"/>
      <c r="E27" s="321"/>
      <c r="F27" s="321"/>
      <c r="G27" s="321"/>
      <c r="H27" s="321"/>
      <c r="J27" s="297" t="s">
        <v>950</v>
      </c>
      <c r="K27" s="101">
        <v>2</v>
      </c>
      <c r="L27" s="86">
        <f t="shared" si="9"/>
        <v>4</v>
      </c>
      <c r="M27" s="86">
        <f>COUNTIFS($K$1:$K27,1)</f>
        <v>4</v>
      </c>
      <c r="N27" s="86">
        <f t="shared" si="10"/>
        <v>3</v>
      </c>
      <c r="O27" s="86"/>
      <c r="P27" s="98" t="str">
        <f t="shared" si="3"/>
        <v>4.4.3.</v>
      </c>
      <c r="Q27" s="101"/>
    </row>
    <row r="28" spans="1:17" ht="13.8" x14ac:dyDescent="0.3">
      <c r="A28" s="44" t="str">
        <f t="shared" si="7"/>
        <v>4.4.4.</v>
      </c>
      <c r="B28" s="13" t="s">
        <v>19</v>
      </c>
      <c r="C28" s="14" t="str">
        <f>CONCATENATE("Eur/",C27)</f>
        <v>Eur/vnt.</v>
      </c>
      <c r="D28" s="361" t="str">
        <f>IFERROR(ROUND(D29/D27,2),"-")</f>
        <v>-</v>
      </c>
      <c r="E28" s="322"/>
      <c r="F28" s="322"/>
      <c r="G28" s="322"/>
      <c r="H28" s="322"/>
      <c r="J28" s="297" t="s">
        <v>951</v>
      </c>
      <c r="K28" s="101">
        <v>2</v>
      </c>
      <c r="L28" s="86">
        <f t="shared" si="9"/>
        <v>4</v>
      </c>
      <c r="M28" s="86">
        <f>COUNTIFS($K$1:$K28,1)</f>
        <v>4</v>
      </c>
      <c r="N28" s="86">
        <f t="shared" si="10"/>
        <v>4</v>
      </c>
      <c r="O28" s="86"/>
      <c r="P28" s="98" t="str">
        <f t="shared" si="3"/>
        <v>4.4.4.</v>
      </c>
      <c r="Q28" s="101"/>
    </row>
    <row r="29" spans="1:17" ht="13.8" x14ac:dyDescent="0.3">
      <c r="A29" s="44" t="str">
        <f t="shared" si="7"/>
        <v>4.4.5.</v>
      </c>
      <c r="B29" s="13" t="s">
        <v>358</v>
      </c>
      <c r="C29" s="14" t="s">
        <v>15</v>
      </c>
      <c r="D29" s="321"/>
      <c r="E29" s="362">
        <f>ROUND(E27*E28,0)</f>
        <v>0</v>
      </c>
      <c r="F29" s="362">
        <f t="shared" ref="F29:H29" si="12">ROUND(F27*F28,0)</f>
        <v>0</v>
      </c>
      <c r="G29" s="362">
        <f t="shared" si="12"/>
        <v>0</v>
      </c>
      <c r="H29" s="362">
        <f t="shared" si="12"/>
        <v>0</v>
      </c>
      <c r="J29" s="297"/>
      <c r="K29" s="101">
        <v>2</v>
      </c>
      <c r="L29" s="86">
        <f t="shared" si="9"/>
        <v>4</v>
      </c>
      <c r="M29" s="86">
        <f>COUNTIFS($K$1:$K29,1)</f>
        <v>4</v>
      </c>
      <c r="N29" s="86">
        <f t="shared" si="10"/>
        <v>5</v>
      </c>
      <c r="O29" s="86"/>
      <c r="P29" s="98" t="str">
        <f t="shared" si="3"/>
        <v>4.4.5.</v>
      </c>
      <c r="Q29" s="101"/>
    </row>
    <row r="30" spans="1:17" ht="30" customHeight="1" thickBot="1" x14ac:dyDescent="0.35">
      <c r="A30" s="104" t="str">
        <f t="shared" si="7"/>
        <v>4.4.6.</v>
      </c>
      <c r="B30" s="107" t="s">
        <v>367</v>
      </c>
      <c r="C30" s="108"/>
      <c r="D30" s="485"/>
      <c r="E30" s="485"/>
      <c r="F30" s="485"/>
      <c r="G30" s="485"/>
      <c r="H30" s="485"/>
      <c r="J30" s="297" t="s">
        <v>952</v>
      </c>
      <c r="K30" s="101">
        <v>2</v>
      </c>
      <c r="L30" s="86">
        <f t="shared" si="9"/>
        <v>4</v>
      </c>
      <c r="M30" s="86">
        <f>COUNTIFS($K$1:$K30,1)</f>
        <v>4</v>
      </c>
      <c r="N30" s="86">
        <f t="shared" si="10"/>
        <v>6</v>
      </c>
      <c r="O30" s="86"/>
      <c r="P30" s="98" t="str">
        <f t="shared" si="3"/>
        <v>4.4.6.</v>
      </c>
      <c r="Q30" s="101"/>
    </row>
    <row r="31" spans="1:17" ht="13.8" x14ac:dyDescent="0.3">
      <c r="A31" s="54" t="str">
        <f t="shared" si="7"/>
        <v>4.5.</v>
      </c>
      <c r="B31" s="197" t="s">
        <v>362</v>
      </c>
      <c r="C31" s="95"/>
      <c r="D31" s="481"/>
      <c r="E31" s="479"/>
      <c r="F31" s="479"/>
      <c r="G31" s="479"/>
      <c r="H31" s="479"/>
      <c r="J31" s="297" t="s">
        <v>947</v>
      </c>
      <c r="K31" s="101">
        <v>1</v>
      </c>
      <c r="L31" s="86">
        <f t="shared" si="9"/>
        <v>4</v>
      </c>
      <c r="M31" s="86">
        <f>COUNTIFS($K$1:$K31,1)</f>
        <v>5</v>
      </c>
      <c r="N31" s="86" t="str">
        <f t="shared" si="10"/>
        <v/>
      </c>
      <c r="O31" s="86"/>
      <c r="P31" s="98" t="str">
        <f t="shared" si="3"/>
        <v>4.5.</v>
      </c>
      <c r="Q31" s="101"/>
    </row>
    <row r="32" spans="1:17" ht="13.8" x14ac:dyDescent="0.3">
      <c r="A32" s="44" t="str">
        <f t="shared" si="7"/>
        <v>4.5.1.</v>
      </c>
      <c r="B32" s="103" t="s">
        <v>357</v>
      </c>
      <c r="C32" s="94"/>
      <c r="D32" s="482"/>
      <c r="E32" s="480"/>
      <c r="F32" s="480"/>
      <c r="G32" s="480"/>
      <c r="H32" s="480"/>
      <c r="J32" s="297" t="s">
        <v>948</v>
      </c>
      <c r="K32" s="101">
        <v>2</v>
      </c>
      <c r="L32" s="86">
        <f t="shared" si="9"/>
        <v>4</v>
      </c>
      <c r="M32" s="86">
        <f>COUNTIFS($K$1:$K32,1)</f>
        <v>5</v>
      </c>
      <c r="N32" s="86">
        <f t="shared" si="10"/>
        <v>1</v>
      </c>
      <c r="O32" s="86"/>
      <c r="P32" s="98" t="str">
        <f t="shared" si="3"/>
        <v>4.5.1.</v>
      </c>
      <c r="Q32" s="101"/>
    </row>
    <row r="33" spans="1:17" ht="13.8" x14ac:dyDescent="0.3">
      <c r="A33" s="44" t="str">
        <f t="shared" si="7"/>
        <v>4.5.2.</v>
      </c>
      <c r="B33" s="13" t="s">
        <v>17</v>
      </c>
      <c r="C33" s="308" t="s">
        <v>20</v>
      </c>
      <c r="D33" s="321"/>
      <c r="E33" s="321"/>
      <c r="F33" s="321"/>
      <c r="G33" s="321"/>
      <c r="H33" s="321"/>
      <c r="J33" s="298" t="s">
        <v>949</v>
      </c>
      <c r="K33" s="101">
        <v>2</v>
      </c>
      <c r="L33" s="86">
        <f t="shared" si="9"/>
        <v>4</v>
      </c>
      <c r="M33" s="86">
        <f>COUNTIFS($K$1:$K33,1)</f>
        <v>5</v>
      </c>
      <c r="N33" s="86">
        <f t="shared" si="10"/>
        <v>2</v>
      </c>
      <c r="O33" s="86"/>
      <c r="P33" s="98" t="str">
        <f t="shared" si="3"/>
        <v>4.5.2.</v>
      </c>
      <c r="Q33" s="101"/>
    </row>
    <row r="34" spans="1:17" ht="13.8" x14ac:dyDescent="0.3">
      <c r="A34" s="44" t="str">
        <f t="shared" si="7"/>
        <v>4.5.3.</v>
      </c>
      <c r="B34" s="13" t="s">
        <v>18</v>
      </c>
      <c r="C34" s="57" t="str">
        <f>+C33</f>
        <v>vnt.</v>
      </c>
      <c r="D34" s="321"/>
      <c r="E34" s="321"/>
      <c r="F34" s="321"/>
      <c r="G34" s="321"/>
      <c r="H34" s="321"/>
      <c r="J34" s="297" t="s">
        <v>950</v>
      </c>
      <c r="K34" s="101">
        <v>2</v>
      </c>
      <c r="L34" s="86">
        <f t="shared" si="9"/>
        <v>4</v>
      </c>
      <c r="M34" s="86">
        <f>COUNTIFS($K$1:$K34,1)</f>
        <v>5</v>
      </c>
      <c r="N34" s="86">
        <f t="shared" si="10"/>
        <v>3</v>
      </c>
      <c r="O34" s="86"/>
      <c r="P34" s="98" t="str">
        <f t="shared" si="3"/>
        <v>4.5.3.</v>
      </c>
      <c r="Q34" s="101"/>
    </row>
    <row r="35" spans="1:17" ht="13.8" x14ac:dyDescent="0.3">
      <c r="A35" s="44" t="str">
        <f t="shared" si="7"/>
        <v>4.5.4.</v>
      </c>
      <c r="B35" s="13" t="s">
        <v>19</v>
      </c>
      <c r="C35" s="14" t="str">
        <f>CONCATENATE("Eur/",C34)</f>
        <v>Eur/vnt.</v>
      </c>
      <c r="D35" s="361" t="str">
        <f>IFERROR(ROUND(D36/D34,2),"-")</f>
        <v>-</v>
      </c>
      <c r="E35" s="322"/>
      <c r="F35" s="322"/>
      <c r="G35" s="322"/>
      <c r="H35" s="322"/>
      <c r="J35" s="297" t="s">
        <v>951</v>
      </c>
      <c r="K35" s="101">
        <v>2</v>
      </c>
      <c r="L35" s="86">
        <f t="shared" si="9"/>
        <v>4</v>
      </c>
      <c r="M35" s="86">
        <f>COUNTIFS($K$1:$K35,1)</f>
        <v>5</v>
      </c>
      <c r="N35" s="86">
        <f t="shared" si="10"/>
        <v>4</v>
      </c>
      <c r="O35" s="86"/>
      <c r="P35" s="98" t="str">
        <f t="shared" si="3"/>
        <v>4.5.4.</v>
      </c>
      <c r="Q35" s="101"/>
    </row>
    <row r="36" spans="1:17" ht="13.8" x14ac:dyDescent="0.3">
      <c r="A36" s="44" t="str">
        <f t="shared" si="7"/>
        <v>4.5.5.</v>
      </c>
      <c r="B36" s="13" t="s">
        <v>358</v>
      </c>
      <c r="C36" s="14" t="s">
        <v>15</v>
      </c>
      <c r="D36" s="321"/>
      <c r="E36" s="362">
        <f>ROUND(E34*E35,0)</f>
        <v>0</v>
      </c>
      <c r="F36" s="362">
        <f t="shared" ref="F36:H36" si="13">ROUND(F34*F35,0)</f>
        <v>0</v>
      </c>
      <c r="G36" s="362">
        <f t="shared" si="13"/>
        <v>0</v>
      </c>
      <c r="H36" s="362">
        <f t="shared" si="13"/>
        <v>0</v>
      </c>
      <c r="J36" s="297"/>
      <c r="K36" s="101">
        <v>2</v>
      </c>
      <c r="L36" s="86">
        <f t="shared" si="9"/>
        <v>4</v>
      </c>
      <c r="M36" s="86">
        <f>COUNTIFS($K$1:$K36,1)</f>
        <v>5</v>
      </c>
      <c r="N36" s="86">
        <f t="shared" si="10"/>
        <v>5</v>
      </c>
      <c r="O36" s="86"/>
      <c r="P36" s="98" t="str">
        <f t="shared" si="3"/>
        <v>4.5.5.</v>
      </c>
      <c r="Q36" s="101"/>
    </row>
    <row r="37" spans="1:17" ht="30" customHeight="1" thickBot="1" x14ac:dyDescent="0.35">
      <c r="A37" s="104" t="str">
        <f t="shared" si="7"/>
        <v>4.5.6.</v>
      </c>
      <c r="B37" s="107" t="s">
        <v>367</v>
      </c>
      <c r="C37" s="108"/>
      <c r="D37" s="485"/>
      <c r="E37" s="485"/>
      <c r="F37" s="485"/>
      <c r="G37" s="485"/>
      <c r="H37" s="485"/>
      <c r="J37" s="297" t="s">
        <v>952</v>
      </c>
      <c r="K37" s="101">
        <v>2</v>
      </c>
      <c r="L37" s="86">
        <f t="shared" si="9"/>
        <v>4</v>
      </c>
      <c r="M37" s="86">
        <f>COUNTIFS($K$1:$K37,1)</f>
        <v>5</v>
      </c>
      <c r="N37" s="86">
        <f t="shared" si="10"/>
        <v>6</v>
      </c>
      <c r="O37" s="86"/>
      <c r="P37" s="98" t="str">
        <f t="shared" si="3"/>
        <v>4.5.6.</v>
      </c>
      <c r="Q37" s="101"/>
    </row>
    <row r="38" spans="1:17" ht="13.8" x14ac:dyDescent="0.3">
      <c r="A38" s="54" t="str">
        <f t="shared" si="7"/>
        <v>4.6.</v>
      </c>
      <c r="B38" s="197" t="s">
        <v>362</v>
      </c>
      <c r="C38" s="95"/>
      <c r="D38" s="481"/>
      <c r="E38" s="479"/>
      <c r="F38" s="479"/>
      <c r="G38" s="479"/>
      <c r="H38" s="479"/>
      <c r="J38" s="297" t="s">
        <v>947</v>
      </c>
      <c r="K38" s="101">
        <v>1</v>
      </c>
      <c r="L38" s="86">
        <f t="shared" si="9"/>
        <v>4</v>
      </c>
      <c r="M38" s="86">
        <f>COUNTIFS($K$1:$K38,1)</f>
        <v>6</v>
      </c>
      <c r="N38" s="86" t="str">
        <f t="shared" si="10"/>
        <v/>
      </c>
      <c r="O38" s="86"/>
      <c r="P38" s="98" t="str">
        <f t="shared" si="3"/>
        <v>4.6.</v>
      </c>
      <c r="Q38" s="101"/>
    </row>
    <row r="39" spans="1:17" ht="13.8" x14ac:dyDescent="0.3">
      <c r="A39" s="44" t="str">
        <f t="shared" si="7"/>
        <v>4.6.1.</v>
      </c>
      <c r="B39" s="103" t="s">
        <v>357</v>
      </c>
      <c r="C39" s="94"/>
      <c r="D39" s="482"/>
      <c r="E39" s="480"/>
      <c r="F39" s="480"/>
      <c r="G39" s="480"/>
      <c r="H39" s="480"/>
      <c r="J39" s="297" t="s">
        <v>948</v>
      </c>
      <c r="K39" s="101">
        <v>2</v>
      </c>
      <c r="L39" s="86">
        <f t="shared" si="9"/>
        <v>4</v>
      </c>
      <c r="M39" s="86">
        <f>COUNTIFS($K$1:$K39,1)</f>
        <v>6</v>
      </c>
      <c r="N39" s="86">
        <f t="shared" si="10"/>
        <v>1</v>
      </c>
      <c r="O39" s="86"/>
      <c r="P39" s="98" t="str">
        <f t="shared" si="3"/>
        <v>4.6.1.</v>
      </c>
      <c r="Q39" s="101"/>
    </row>
    <row r="40" spans="1:17" ht="13.8" x14ac:dyDescent="0.3">
      <c r="A40" s="44" t="str">
        <f t="shared" si="7"/>
        <v>4.6.2.</v>
      </c>
      <c r="B40" s="13" t="s">
        <v>17</v>
      </c>
      <c r="C40" s="308" t="s">
        <v>20</v>
      </c>
      <c r="D40" s="321"/>
      <c r="E40" s="321"/>
      <c r="F40" s="321"/>
      <c r="G40" s="321"/>
      <c r="H40" s="321"/>
      <c r="J40" s="298" t="s">
        <v>949</v>
      </c>
      <c r="K40" s="101">
        <v>2</v>
      </c>
      <c r="L40" s="86">
        <f t="shared" si="9"/>
        <v>4</v>
      </c>
      <c r="M40" s="86">
        <f>COUNTIFS($K$1:$K40,1)</f>
        <v>6</v>
      </c>
      <c r="N40" s="86">
        <f t="shared" si="10"/>
        <v>2</v>
      </c>
      <c r="O40" s="86"/>
      <c r="P40" s="98" t="str">
        <f t="shared" si="3"/>
        <v>4.6.2.</v>
      </c>
      <c r="Q40" s="101"/>
    </row>
    <row r="41" spans="1:17" ht="13.8" x14ac:dyDescent="0.3">
      <c r="A41" s="44" t="str">
        <f t="shared" si="7"/>
        <v>4.6.3.</v>
      </c>
      <c r="B41" s="13" t="s">
        <v>18</v>
      </c>
      <c r="C41" s="57" t="str">
        <f>+C40</f>
        <v>vnt.</v>
      </c>
      <c r="D41" s="321"/>
      <c r="E41" s="321"/>
      <c r="F41" s="321"/>
      <c r="G41" s="321"/>
      <c r="H41" s="321"/>
      <c r="J41" s="297" t="s">
        <v>950</v>
      </c>
      <c r="K41" s="101">
        <v>2</v>
      </c>
      <c r="L41" s="86">
        <f t="shared" si="9"/>
        <v>4</v>
      </c>
      <c r="M41" s="86">
        <f>COUNTIFS($K$1:$K41,1)</f>
        <v>6</v>
      </c>
      <c r="N41" s="86">
        <f t="shared" si="10"/>
        <v>3</v>
      </c>
      <c r="O41" s="86"/>
      <c r="P41" s="98" t="str">
        <f t="shared" si="3"/>
        <v>4.6.3.</v>
      </c>
      <c r="Q41" s="101"/>
    </row>
    <row r="42" spans="1:17" ht="13.8" x14ac:dyDescent="0.3">
      <c r="A42" s="44" t="str">
        <f t="shared" si="7"/>
        <v>4.6.4.</v>
      </c>
      <c r="B42" s="13" t="s">
        <v>19</v>
      </c>
      <c r="C42" s="14" t="str">
        <f>CONCATENATE("Eur/",C41)</f>
        <v>Eur/vnt.</v>
      </c>
      <c r="D42" s="361" t="str">
        <f>IFERROR(ROUND(D43/D41,2),"-")</f>
        <v>-</v>
      </c>
      <c r="E42" s="322"/>
      <c r="F42" s="322"/>
      <c r="G42" s="322"/>
      <c r="H42" s="322"/>
      <c r="J42" s="297" t="s">
        <v>951</v>
      </c>
      <c r="K42" s="101">
        <v>2</v>
      </c>
      <c r="L42" s="86">
        <f t="shared" si="9"/>
        <v>4</v>
      </c>
      <c r="M42" s="86">
        <f>COUNTIFS($K$1:$K42,1)</f>
        <v>6</v>
      </c>
      <c r="N42" s="86">
        <f t="shared" si="10"/>
        <v>4</v>
      </c>
      <c r="O42" s="86"/>
      <c r="P42" s="98" t="str">
        <f t="shared" si="3"/>
        <v>4.6.4.</v>
      </c>
      <c r="Q42" s="101"/>
    </row>
    <row r="43" spans="1:17" ht="13.8" x14ac:dyDescent="0.3">
      <c r="A43" s="44" t="str">
        <f t="shared" si="7"/>
        <v>4.6.5.</v>
      </c>
      <c r="B43" s="13" t="s">
        <v>358</v>
      </c>
      <c r="C43" s="14" t="s">
        <v>15</v>
      </c>
      <c r="D43" s="321"/>
      <c r="E43" s="362">
        <f>ROUND(E41*E42,0)</f>
        <v>0</v>
      </c>
      <c r="F43" s="362">
        <f t="shared" ref="F43:H43" si="14">ROUND(F41*F42,0)</f>
        <v>0</v>
      </c>
      <c r="G43" s="362">
        <f t="shared" si="14"/>
        <v>0</v>
      </c>
      <c r="H43" s="362">
        <f t="shared" si="14"/>
        <v>0</v>
      </c>
      <c r="J43" s="297"/>
      <c r="K43" s="101">
        <v>2</v>
      </c>
      <c r="L43" s="86">
        <f t="shared" si="9"/>
        <v>4</v>
      </c>
      <c r="M43" s="86">
        <f>COUNTIFS($K$1:$K43,1)</f>
        <v>6</v>
      </c>
      <c r="N43" s="86">
        <f t="shared" si="10"/>
        <v>5</v>
      </c>
      <c r="O43" s="86"/>
      <c r="P43" s="98" t="str">
        <f t="shared" si="3"/>
        <v>4.6.5.</v>
      </c>
      <c r="Q43" s="101"/>
    </row>
    <row r="44" spans="1:17" ht="30" customHeight="1" thickBot="1" x14ac:dyDescent="0.35">
      <c r="A44" s="104" t="str">
        <f t="shared" si="7"/>
        <v>4.6.6.</v>
      </c>
      <c r="B44" s="107" t="s">
        <v>367</v>
      </c>
      <c r="C44" s="108"/>
      <c r="D44" s="485"/>
      <c r="E44" s="485"/>
      <c r="F44" s="485"/>
      <c r="G44" s="485"/>
      <c r="H44" s="485"/>
      <c r="J44" s="297" t="s">
        <v>952</v>
      </c>
      <c r="K44" s="101">
        <v>2</v>
      </c>
      <c r="L44" s="86">
        <f t="shared" si="9"/>
        <v>4</v>
      </c>
      <c r="M44" s="86">
        <f>COUNTIFS($K$1:$K44,1)</f>
        <v>6</v>
      </c>
      <c r="N44" s="86">
        <f t="shared" si="10"/>
        <v>6</v>
      </c>
      <c r="O44" s="86"/>
      <c r="P44" s="98" t="str">
        <f t="shared" si="3"/>
        <v>4.6.6.</v>
      </c>
      <c r="Q44" s="101"/>
    </row>
    <row r="45" spans="1:17" ht="13.8" x14ac:dyDescent="0.3">
      <c r="A45" s="54" t="str">
        <f t="shared" si="7"/>
        <v>4.7.</v>
      </c>
      <c r="B45" s="197" t="s">
        <v>361</v>
      </c>
      <c r="C45" s="95"/>
      <c r="D45" s="483"/>
      <c r="E45" s="484"/>
      <c r="F45" s="484"/>
      <c r="G45" s="484"/>
      <c r="H45" s="484"/>
      <c r="J45" s="297" t="s">
        <v>953</v>
      </c>
      <c r="K45" s="101">
        <v>1</v>
      </c>
      <c r="L45" s="86">
        <f t="shared" si="9"/>
        <v>4</v>
      </c>
      <c r="M45" s="86">
        <f>COUNTIFS($K$1:$K45,1)</f>
        <v>7</v>
      </c>
      <c r="N45" s="86" t="str">
        <f t="shared" si="10"/>
        <v/>
      </c>
      <c r="O45" s="86"/>
      <c r="P45" s="98" t="str">
        <f t="shared" si="3"/>
        <v>4.7.</v>
      </c>
      <c r="Q45" s="101"/>
    </row>
    <row r="46" spans="1:17" ht="13.8" x14ac:dyDescent="0.3">
      <c r="A46" s="44" t="str">
        <f t="shared" si="7"/>
        <v>4.7.1.</v>
      </c>
      <c r="B46" s="103" t="s">
        <v>357</v>
      </c>
      <c r="C46" s="94"/>
      <c r="D46" s="482"/>
      <c r="E46" s="480"/>
      <c r="F46" s="480"/>
      <c r="G46" s="480"/>
      <c r="H46" s="480"/>
      <c r="J46" s="297" t="s">
        <v>948</v>
      </c>
      <c r="K46" s="101">
        <v>2</v>
      </c>
      <c r="L46" s="86">
        <f t="shared" si="9"/>
        <v>4</v>
      </c>
      <c r="M46" s="86">
        <f>COUNTIFS($K$1:$K46,1)</f>
        <v>7</v>
      </c>
      <c r="N46" s="86">
        <f t="shared" si="10"/>
        <v>1</v>
      </c>
      <c r="O46" s="86"/>
      <c r="P46" s="98" t="str">
        <f t="shared" si="3"/>
        <v>4.7.1.</v>
      </c>
      <c r="Q46" s="101"/>
    </row>
    <row r="47" spans="1:17" s="17" customFormat="1" ht="13.8" x14ac:dyDescent="0.3">
      <c r="A47" s="44" t="str">
        <f t="shared" si="7"/>
        <v>4.7.2.</v>
      </c>
      <c r="B47" s="13" t="s">
        <v>18</v>
      </c>
      <c r="C47" s="308" t="s">
        <v>240</v>
      </c>
      <c r="D47" s="321"/>
      <c r="E47" s="321"/>
      <c r="F47" s="321"/>
      <c r="G47" s="321"/>
      <c r="H47" s="321"/>
      <c r="I47" s="16"/>
      <c r="J47" s="298" t="s">
        <v>949</v>
      </c>
      <c r="K47" s="101">
        <v>2</v>
      </c>
      <c r="L47" s="86">
        <f t="shared" si="9"/>
        <v>4</v>
      </c>
      <c r="M47" s="86">
        <f>COUNTIFS($K$1:$K47,1)</f>
        <v>7</v>
      </c>
      <c r="N47" s="86">
        <f t="shared" si="10"/>
        <v>2</v>
      </c>
      <c r="O47" s="86"/>
      <c r="P47" s="98" t="str">
        <f t="shared" si="3"/>
        <v>4.7.2.</v>
      </c>
      <c r="Q47" s="101"/>
    </row>
    <row r="48" spans="1:17" ht="13.8" x14ac:dyDescent="0.3">
      <c r="A48" s="44" t="str">
        <f t="shared" si="7"/>
        <v>4.7.3.</v>
      </c>
      <c r="B48" s="13" t="s">
        <v>19</v>
      </c>
      <c r="C48" s="14" t="str">
        <f>CONCATENATE("Eur/",C47)</f>
        <v>Eur/val.</v>
      </c>
      <c r="D48" s="361" t="str">
        <f>IFERROR(ROUND(D49/D47,2),"-")</f>
        <v>-</v>
      </c>
      <c r="E48" s="322"/>
      <c r="F48" s="322"/>
      <c r="G48" s="322"/>
      <c r="H48" s="322"/>
      <c r="J48" s="297" t="s">
        <v>951</v>
      </c>
      <c r="K48" s="101">
        <v>2</v>
      </c>
      <c r="L48" s="86">
        <f t="shared" si="9"/>
        <v>4</v>
      </c>
      <c r="M48" s="86">
        <f>COUNTIFS($K$1:$K48,1)</f>
        <v>7</v>
      </c>
      <c r="N48" s="86">
        <f t="shared" si="10"/>
        <v>3</v>
      </c>
      <c r="O48" s="86"/>
      <c r="P48" s="98" t="str">
        <f t="shared" si="3"/>
        <v>4.7.3.</v>
      </c>
      <c r="Q48" s="101"/>
    </row>
    <row r="49" spans="1:17" ht="13.8" x14ac:dyDescent="0.3">
      <c r="A49" s="44" t="str">
        <f t="shared" si="7"/>
        <v>4.7.4.</v>
      </c>
      <c r="B49" s="13" t="s">
        <v>360</v>
      </c>
      <c r="C49" s="14" t="s">
        <v>15</v>
      </c>
      <c r="D49" s="321"/>
      <c r="E49" s="362">
        <f>ROUND(E47*E48,0)</f>
        <v>0</v>
      </c>
      <c r="F49" s="362">
        <f t="shared" ref="F49:H49" si="15">ROUND(F47*F48,0)</f>
        <v>0</v>
      </c>
      <c r="G49" s="362">
        <f t="shared" si="15"/>
        <v>0</v>
      </c>
      <c r="H49" s="362">
        <f t="shared" si="15"/>
        <v>0</v>
      </c>
      <c r="J49" s="297"/>
      <c r="K49" s="101">
        <v>2</v>
      </c>
      <c r="L49" s="86">
        <f t="shared" si="9"/>
        <v>4</v>
      </c>
      <c r="M49" s="86">
        <f>COUNTIFS($K$1:$K49,1)</f>
        <v>7</v>
      </c>
      <c r="N49" s="86">
        <f t="shared" ref="N49:N80" si="16">IF($K49=$N$1,IF($K49&lt;&gt;$K48, 1, N48+1),"")</f>
        <v>4</v>
      </c>
      <c r="O49" s="86"/>
      <c r="P49" s="98" t="str">
        <f t="shared" si="3"/>
        <v>4.7.4.</v>
      </c>
      <c r="Q49" s="101"/>
    </row>
    <row r="50" spans="1:17" ht="30" customHeight="1" thickBot="1" x14ac:dyDescent="0.35">
      <c r="A50" s="104" t="str">
        <f t="shared" si="7"/>
        <v>4.7.5.</v>
      </c>
      <c r="B50" s="102" t="s">
        <v>367</v>
      </c>
      <c r="C50" s="97"/>
      <c r="D50" s="486"/>
      <c r="E50" s="487"/>
      <c r="F50" s="487"/>
      <c r="G50" s="487"/>
      <c r="H50" s="487"/>
      <c r="J50" s="297" t="s">
        <v>952</v>
      </c>
      <c r="K50" s="101">
        <v>2</v>
      </c>
      <c r="L50" s="86">
        <f t="shared" si="9"/>
        <v>4</v>
      </c>
      <c r="M50" s="86">
        <f>COUNTIFS($K$1:$K50,1)</f>
        <v>7</v>
      </c>
      <c r="N50" s="86">
        <f t="shared" si="16"/>
        <v>5</v>
      </c>
      <c r="O50" s="86"/>
      <c r="P50" s="98" t="str">
        <f t="shared" si="3"/>
        <v>4.7.5.</v>
      </c>
      <c r="Q50" s="101"/>
    </row>
    <row r="51" spans="1:17" ht="13.8" x14ac:dyDescent="0.3">
      <c r="A51" s="54" t="str">
        <f t="shared" si="7"/>
        <v>4.8.</v>
      </c>
      <c r="B51" s="197" t="s">
        <v>361</v>
      </c>
      <c r="C51" s="95"/>
      <c r="D51" s="479"/>
      <c r="E51" s="479"/>
      <c r="F51" s="479"/>
      <c r="G51" s="479"/>
      <c r="H51" s="479"/>
      <c r="J51" s="297" t="s">
        <v>953</v>
      </c>
      <c r="K51" s="101">
        <v>1</v>
      </c>
      <c r="L51" s="86">
        <f t="shared" ref="L51:L86" si="17">+L50</f>
        <v>4</v>
      </c>
      <c r="M51" s="86">
        <f>COUNTIFS($K$1:$K51,1)</f>
        <v>8</v>
      </c>
      <c r="N51" s="86" t="str">
        <f t="shared" si="16"/>
        <v/>
      </c>
      <c r="O51" s="86"/>
      <c r="P51" s="98" t="str">
        <f t="shared" si="3"/>
        <v>4.8.</v>
      </c>
      <c r="Q51" s="101"/>
    </row>
    <row r="52" spans="1:17" ht="13.8" x14ac:dyDescent="0.3">
      <c r="A52" s="44" t="str">
        <f t="shared" si="7"/>
        <v>4.8.1.</v>
      </c>
      <c r="B52" s="103" t="s">
        <v>357</v>
      </c>
      <c r="C52" s="94"/>
      <c r="D52" s="480"/>
      <c r="E52" s="480"/>
      <c r="F52" s="480"/>
      <c r="G52" s="480"/>
      <c r="H52" s="480"/>
      <c r="J52" s="297" t="s">
        <v>948</v>
      </c>
      <c r="K52" s="101">
        <v>2</v>
      </c>
      <c r="L52" s="86">
        <f t="shared" si="17"/>
        <v>4</v>
      </c>
      <c r="M52" s="86">
        <f>COUNTIFS($K$1:$K52,1)</f>
        <v>8</v>
      </c>
      <c r="N52" s="86">
        <f t="shared" si="16"/>
        <v>1</v>
      </c>
      <c r="O52" s="86"/>
      <c r="P52" s="98" t="str">
        <f t="shared" si="3"/>
        <v>4.8.1.</v>
      </c>
      <c r="Q52" s="101"/>
    </row>
    <row r="53" spans="1:17" ht="13.8" x14ac:dyDescent="0.3">
      <c r="A53" s="44" t="str">
        <f t="shared" si="7"/>
        <v>4.8.2.</v>
      </c>
      <c r="B53" s="13" t="s">
        <v>18</v>
      </c>
      <c r="C53" s="308" t="s">
        <v>240</v>
      </c>
      <c r="D53" s="321"/>
      <c r="E53" s="321"/>
      <c r="F53" s="321"/>
      <c r="G53" s="321"/>
      <c r="H53" s="321"/>
      <c r="J53" s="298" t="s">
        <v>949</v>
      </c>
      <c r="K53" s="101">
        <v>2</v>
      </c>
      <c r="L53" s="86">
        <f t="shared" si="17"/>
        <v>4</v>
      </c>
      <c r="M53" s="86">
        <f>COUNTIFS($K$1:$K53,1)</f>
        <v>8</v>
      </c>
      <c r="N53" s="86">
        <f t="shared" si="16"/>
        <v>2</v>
      </c>
      <c r="O53" s="86"/>
      <c r="P53" s="98" t="str">
        <f t="shared" si="3"/>
        <v>4.8.2.</v>
      </c>
      <c r="Q53" s="101"/>
    </row>
    <row r="54" spans="1:17" ht="13.8" x14ac:dyDescent="0.3">
      <c r="A54" s="44" t="str">
        <f t="shared" si="7"/>
        <v>4.8.3.</v>
      </c>
      <c r="B54" s="13" t="s">
        <v>19</v>
      </c>
      <c r="C54" s="14" t="str">
        <f>CONCATENATE("Eur/",C53)</f>
        <v>Eur/val.</v>
      </c>
      <c r="D54" s="361" t="str">
        <f>IFERROR(ROUND(D55/D53,2),"-")</f>
        <v>-</v>
      </c>
      <c r="E54" s="322"/>
      <c r="F54" s="322"/>
      <c r="G54" s="322"/>
      <c r="H54" s="322"/>
      <c r="J54" s="297" t="s">
        <v>951</v>
      </c>
      <c r="K54" s="101">
        <v>2</v>
      </c>
      <c r="L54" s="86">
        <f t="shared" si="17"/>
        <v>4</v>
      </c>
      <c r="M54" s="86">
        <f>COUNTIFS($K$1:$K54,1)</f>
        <v>8</v>
      </c>
      <c r="N54" s="86">
        <f t="shared" si="16"/>
        <v>3</v>
      </c>
      <c r="O54" s="86"/>
      <c r="P54" s="98" t="str">
        <f t="shared" si="3"/>
        <v>4.8.3.</v>
      </c>
      <c r="Q54" s="101"/>
    </row>
    <row r="55" spans="1:17" ht="13.8" x14ac:dyDescent="0.3">
      <c r="A55" s="44" t="str">
        <f t="shared" si="7"/>
        <v>4.8.4.</v>
      </c>
      <c r="B55" s="13" t="s">
        <v>360</v>
      </c>
      <c r="C55" s="14" t="s">
        <v>15</v>
      </c>
      <c r="D55" s="321"/>
      <c r="E55" s="362">
        <f>ROUND(E53*E54,0)</f>
        <v>0</v>
      </c>
      <c r="F55" s="362">
        <f t="shared" ref="F55:H55" si="18">ROUND(F53*F54,0)</f>
        <v>0</v>
      </c>
      <c r="G55" s="362">
        <f t="shared" si="18"/>
        <v>0</v>
      </c>
      <c r="H55" s="362">
        <f t="shared" si="18"/>
        <v>0</v>
      </c>
      <c r="J55" s="297"/>
      <c r="K55" s="101">
        <v>2</v>
      </c>
      <c r="L55" s="86">
        <f t="shared" si="17"/>
        <v>4</v>
      </c>
      <c r="M55" s="86">
        <f>COUNTIFS($K$1:$K55,1)</f>
        <v>8</v>
      </c>
      <c r="N55" s="86">
        <f t="shared" si="16"/>
        <v>4</v>
      </c>
      <c r="O55" s="86"/>
      <c r="P55" s="98" t="str">
        <f t="shared" si="3"/>
        <v>4.8.4.</v>
      </c>
      <c r="Q55" s="101"/>
    </row>
    <row r="56" spans="1:17" ht="30" customHeight="1" thickBot="1" x14ac:dyDescent="0.35">
      <c r="A56" s="104" t="str">
        <f t="shared" si="7"/>
        <v>4.8.5.</v>
      </c>
      <c r="B56" s="102" t="s">
        <v>367</v>
      </c>
      <c r="C56" s="97"/>
      <c r="D56" s="477"/>
      <c r="E56" s="477"/>
      <c r="F56" s="477"/>
      <c r="G56" s="477"/>
      <c r="H56" s="477"/>
      <c r="J56" s="297" t="s">
        <v>952</v>
      </c>
      <c r="K56" s="101">
        <v>2</v>
      </c>
      <c r="L56" s="86">
        <f t="shared" si="17"/>
        <v>4</v>
      </c>
      <c r="M56" s="86">
        <f>COUNTIFS($K$1:$K56,1)</f>
        <v>8</v>
      </c>
      <c r="N56" s="86">
        <f t="shared" si="16"/>
        <v>5</v>
      </c>
      <c r="O56" s="86"/>
      <c r="P56" s="98" t="str">
        <f t="shared" si="3"/>
        <v>4.8.5.</v>
      </c>
      <c r="Q56" s="101"/>
    </row>
    <row r="57" spans="1:17" ht="13.8" x14ac:dyDescent="0.3">
      <c r="A57" s="54" t="str">
        <f t="shared" si="7"/>
        <v>4.9.</v>
      </c>
      <c r="B57" s="197" t="s">
        <v>361</v>
      </c>
      <c r="C57" s="95"/>
      <c r="D57" s="479"/>
      <c r="E57" s="479"/>
      <c r="F57" s="479"/>
      <c r="G57" s="479"/>
      <c r="H57" s="479"/>
      <c r="J57" s="297" t="s">
        <v>953</v>
      </c>
      <c r="K57" s="101">
        <v>1</v>
      </c>
      <c r="L57" s="86">
        <f t="shared" si="17"/>
        <v>4</v>
      </c>
      <c r="M57" s="86">
        <f>COUNTIFS($K$1:$K57,1)</f>
        <v>9</v>
      </c>
      <c r="N57" s="86" t="str">
        <f t="shared" si="16"/>
        <v/>
      </c>
      <c r="O57" s="86"/>
      <c r="P57" s="98" t="str">
        <f t="shared" si="3"/>
        <v>4.9.</v>
      </c>
      <c r="Q57" s="101"/>
    </row>
    <row r="58" spans="1:17" ht="13.8" x14ac:dyDescent="0.3">
      <c r="A58" s="44" t="str">
        <f t="shared" si="7"/>
        <v>4.9.1.</v>
      </c>
      <c r="B58" s="103" t="s">
        <v>357</v>
      </c>
      <c r="C58" s="94"/>
      <c r="D58" s="480"/>
      <c r="E58" s="480"/>
      <c r="F58" s="480"/>
      <c r="G58" s="480"/>
      <c r="H58" s="480"/>
      <c r="J58" s="297" t="s">
        <v>948</v>
      </c>
      <c r="K58" s="101">
        <v>2</v>
      </c>
      <c r="L58" s="86">
        <f t="shared" si="17"/>
        <v>4</v>
      </c>
      <c r="M58" s="86">
        <f>COUNTIFS($K$1:$K58,1)</f>
        <v>9</v>
      </c>
      <c r="N58" s="86">
        <f t="shared" si="16"/>
        <v>1</v>
      </c>
      <c r="O58" s="86"/>
      <c r="P58" s="98" t="str">
        <f t="shared" si="3"/>
        <v>4.9.1.</v>
      </c>
      <c r="Q58" s="101"/>
    </row>
    <row r="59" spans="1:17" ht="13.8" x14ac:dyDescent="0.3">
      <c r="A59" s="44" t="str">
        <f t="shared" si="7"/>
        <v>4.9.2.</v>
      </c>
      <c r="B59" s="13" t="s">
        <v>18</v>
      </c>
      <c r="C59" s="308" t="s">
        <v>240</v>
      </c>
      <c r="D59" s="321"/>
      <c r="E59" s="321"/>
      <c r="F59" s="321"/>
      <c r="G59" s="321"/>
      <c r="H59" s="321"/>
      <c r="J59" s="298" t="s">
        <v>949</v>
      </c>
      <c r="K59" s="101">
        <v>2</v>
      </c>
      <c r="L59" s="86">
        <f t="shared" si="17"/>
        <v>4</v>
      </c>
      <c r="M59" s="86">
        <f>COUNTIFS($K$1:$K59,1)</f>
        <v>9</v>
      </c>
      <c r="N59" s="86">
        <f t="shared" si="16"/>
        <v>2</v>
      </c>
      <c r="O59" s="86"/>
      <c r="P59" s="98" t="str">
        <f t="shared" si="3"/>
        <v>4.9.2.</v>
      </c>
      <c r="Q59" s="101"/>
    </row>
    <row r="60" spans="1:17" ht="13.8" x14ac:dyDescent="0.3">
      <c r="A60" s="44" t="str">
        <f t="shared" si="7"/>
        <v>4.9.3.</v>
      </c>
      <c r="B60" s="13" t="s">
        <v>19</v>
      </c>
      <c r="C60" s="14" t="str">
        <f>CONCATENATE("Eur/",C59)</f>
        <v>Eur/val.</v>
      </c>
      <c r="D60" s="361" t="str">
        <f>IFERROR(ROUND(D61/D59,2),"-")</f>
        <v>-</v>
      </c>
      <c r="E60" s="322"/>
      <c r="F60" s="322"/>
      <c r="G60" s="322"/>
      <c r="H60" s="322"/>
      <c r="J60" s="297" t="s">
        <v>951</v>
      </c>
      <c r="K60" s="101">
        <v>2</v>
      </c>
      <c r="L60" s="86">
        <f t="shared" si="17"/>
        <v>4</v>
      </c>
      <c r="M60" s="86">
        <f>COUNTIFS($K$1:$K60,1)</f>
        <v>9</v>
      </c>
      <c r="N60" s="86">
        <f t="shared" si="16"/>
        <v>3</v>
      </c>
      <c r="O60" s="86"/>
      <c r="P60" s="98" t="str">
        <f t="shared" si="3"/>
        <v>4.9.3.</v>
      </c>
      <c r="Q60" s="101"/>
    </row>
    <row r="61" spans="1:17" ht="13.8" x14ac:dyDescent="0.3">
      <c r="A61" s="44" t="str">
        <f t="shared" si="7"/>
        <v>4.9.4.</v>
      </c>
      <c r="B61" s="13" t="s">
        <v>360</v>
      </c>
      <c r="C61" s="14" t="s">
        <v>15</v>
      </c>
      <c r="D61" s="321"/>
      <c r="E61" s="362">
        <f>ROUND(E59*E60,0)</f>
        <v>0</v>
      </c>
      <c r="F61" s="362">
        <f t="shared" ref="F61:H61" si="19">ROUND(F59*F60,0)</f>
        <v>0</v>
      </c>
      <c r="G61" s="362">
        <f t="shared" si="19"/>
        <v>0</v>
      </c>
      <c r="H61" s="362">
        <f t="shared" si="19"/>
        <v>0</v>
      </c>
      <c r="J61" s="297"/>
      <c r="K61" s="101">
        <v>2</v>
      </c>
      <c r="L61" s="86">
        <f t="shared" si="17"/>
        <v>4</v>
      </c>
      <c r="M61" s="86">
        <f>COUNTIFS($K$1:$K61,1)</f>
        <v>9</v>
      </c>
      <c r="N61" s="86">
        <f t="shared" si="16"/>
        <v>4</v>
      </c>
      <c r="O61" s="86"/>
      <c r="P61" s="98" t="str">
        <f t="shared" si="3"/>
        <v>4.9.4.</v>
      </c>
      <c r="Q61" s="101"/>
    </row>
    <row r="62" spans="1:17" ht="30" customHeight="1" thickBot="1" x14ac:dyDescent="0.35">
      <c r="A62" s="104" t="str">
        <f t="shared" si="7"/>
        <v>4.9.5.</v>
      </c>
      <c r="B62" s="102" t="s">
        <v>367</v>
      </c>
      <c r="C62" s="97"/>
      <c r="D62" s="477"/>
      <c r="E62" s="477"/>
      <c r="F62" s="477"/>
      <c r="G62" s="477"/>
      <c r="H62" s="477"/>
      <c r="J62" s="297" t="s">
        <v>952</v>
      </c>
      <c r="K62" s="101">
        <v>2</v>
      </c>
      <c r="L62" s="86">
        <f t="shared" si="17"/>
        <v>4</v>
      </c>
      <c r="M62" s="86">
        <f>COUNTIFS($K$1:$K62,1)</f>
        <v>9</v>
      </c>
      <c r="N62" s="86">
        <f t="shared" si="16"/>
        <v>5</v>
      </c>
      <c r="O62" s="86"/>
      <c r="P62" s="98" t="str">
        <f t="shared" si="3"/>
        <v>4.9.5.</v>
      </c>
      <c r="Q62" s="101"/>
    </row>
    <row r="63" spans="1:17" ht="13.8" x14ac:dyDescent="0.3">
      <c r="A63" s="54" t="str">
        <f t="shared" si="7"/>
        <v>4.10.</v>
      </c>
      <c r="B63" s="197" t="s">
        <v>361</v>
      </c>
      <c r="C63" s="95"/>
      <c r="D63" s="479"/>
      <c r="E63" s="479"/>
      <c r="F63" s="479"/>
      <c r="G63" s="479"/>
      <c r="H63" s="479"/>
      <c r="J63" s="297" t="s">
        <v>953</v>
      </c>
      <c r="K63" s="101">
        <v>1</v>
      </c>
      <c r="L63" s="86">
        <f t="shared" si="17"/>
        <v>4</v>
      </c>
      <c r="M63" s="86">
        <f>COUNTIFS($K$1:$K63,1)</f>
        <v>10</v>
      </c>
      <c r="N63" s="86" t="str">
        <f t="shared" si="16"/>
        <v/>
      </c>
      <c r="O63" s="86"/>
      <c r="P63" s="98" t="str">
        <f t="shared" si="3"/>
        <v>4.10.</v>
      </c>
      <c r="Q63" s="101"/>
    </row>
    <row r="64" spans="1:17" ht="13.8" x14ac:dyDescent="0.3">
      <c r="A64" s="44" t="str">
        <f t="shared" si="7"/>
        <v>4.10.1.</v>
      </c>
      <c r="B64" s="103" t="s">
        <v>357</v>
      </c>
      <c r="C64" s="94"/>
      <c r="D64" s="480"/>
      <c r="E64" s="480"/>
      <c r="F64" s="480"/>
      <c r="G64" s="480"/>
      <c r="H64" s="480"/>
      <c r="J64" s="297" t="s">
        <v>948</v>
      </c>
      <c r="K64" s="101">
        <v>2</v>
      </c>
      <c r="L64" s="86">
        <f t="shared" si="17"/>
        <v>4</v>
      </c>
      <c r="M64" s="86">
        <f>COUNTIFS($K$1:$K64,1)</f>
        <v>10</v>
      </c>
      <c r="N64" s="86">
        <f t="shared" si="16"/>
        <v>1</v>
      </c>
      <c r="O64" s="86"/>
      <c r="P64" s="98" t="str">
        <f t="shared" si="3"/>
        <v>4.10.1.</v>
      </c>
      <c r="Q64" s="101"/>
    </row>
    <row r="65" spans="1:17" ht="13.8" x14ac:dyDescent="0.3">
      <c r="A65" s="44" t="str">
        <f t="shared" si="7"/>
        <v>4.10.2.</v>
      </c>
      <c r="B65" s="13" t="s">
        <v>18</v>
      </c>
      <c r="C65" s="308" t="s">
        <v>240</v>
      </c>
      <c r="D65" s="321"/>
      <c r="E65" s="321"/>
      <c r="F65" s="321"/>
      <c r="G65" s="321"/>
      <c r="H65" s="321"/>
      <c r="J65" s="298" t="s">
        <v>949</v>
      </c>
      <c r="K65" s="101">
        <v>2</v>
      </c>
      <c r="L65" s="86">
        <f t="shared" si="17"/>
        <v>4</v>
      </c>
      <c r="M65" s="86">
        <f>COUNTIFS($K$1:$K65,1)</f>
        <v>10</v>
      </c>
      <c r="N65" s="86">
        <f t="shared" si="16"/>
        <v>2</v>
      </c>
      <c r="O65" s="86"/>
      <c r="P65" s="98" t="str">
        <f t="shared" si="3"/>
        <v>4.10.2.</v>
      </c>
      <c r="Q65" s="101"/>
    </row>
    <row r="66" spans="1:17" ht="13.8" x14ac:dyDescent="0.3">
      <c r="A66" s="44" t="str">
        <f t="shared" si="7"/>
        <v>4.10.3.</v>
      </c>
      <c r="B66" s="13" t="s">
        <v>19</v>
      </c>
      <c r="C66" s="14" t="str">
        <f>CONCATENATE("Eur/",C65)</f>
        <v>Eur/val.</v>
      </c>
      <c r="D66" s="361" t="str">
        <f>IFERROR(ROUND(D67/D65,2),"-")</f>
        <v>-</v>
      </c>
      <c r="E66" s="322"/>
      <c r="F66" s="322"/>
      <c r="G66" s="322"/>
      <c r="H66" s="322"/>
      <c r="J66" s="297" t="s">
        <v>951</v>
      </c>
      <c r="K66" s="101">
        <v>2</v>
      </c>
      <c r="L66" s="86">
        <f t="shared" si="17"/>
        <v>4</v>
      </c>
      <c r="M66" s="86">
        <f>COUNTIFS($K$1:$K66,1)</f>
        <v>10</v>
      </c>
      <c r="N66" s="86">
        <f t="shared" si="16"/>
        <v>3</v>
      </c>
      <c r="O66" s="86"/>
      <c r="P66" s="98" t="str">
        <f t="shared" si="3"/>
        <v>4.10.3.</v>
      </c>
      <c r="Q66" s="101"/>
    </row>
    <row r="67" spans="1:17" ht="13.8" x14ac:dyDescent="0.3">
      <c r="A67" s="44" t="str">
        <f t="shared" si="7"/>
        <v>4.10.4.</v>
      </c>
      <c r="B67" s="13" t="s">
        <v>360</v>
      </c>
      <c r="C67" s="14" t="s">
        <v>15</v>
      </c>
      <c r="D67" s="321"/>
      <c r="E67" s="362">
        <f>ROUND(E65*E66,0)</f>
        <v>0</v>
      </c>
      <c r="F67" s="362">
        <f t="shared" ref="F67:H67" si="20">ROUND(F65*F66,0)</f>
        <v>0</v>
      </c>
      <c r="G67" s="362">
        <f t="shared" si="20"/>
        <v>0</v>
      </c>
      <c r="H67" s="362">
        <f t="shared" si="20"/>
        <v>0</v>
      </c>
      <c r="J67" s="297"/>
      <c r="K67" s="101">
        <v>2</v>
      </c>
      <c r="L67" s="86">
        <f t="shared" si="17"/>
        <v>4</v>
      </c>
      <c r="M67" s="86">
        <f>COUNTIFS($K$1:$K67,1)</f>
        <v>10</v>
      </c>
      <c r="N67" s="86">
        <f t="shared" si="16"/>
        <v>4</v>
      </c>
      <c r="O67" s="86"/>
      <c r="P67" s="98" t="str">
        <f t="shared" si="3"/>
        <v>4.10.4.</v>
      </c>
      <c r="Q67" s="101"/>
    </row>
    <row r="68" spans="1:17" ht="30" customHeight="1" thickBot="1" x14ac:dyDescent="0.35">
      <c r="A68" s="104" t="str">
        <f t="shared" si="7"/>
        <v>4.10.5.</v>
      </c>
      <c r="B68" s="102" t="s">
        <v>367</v>
      </c>
      <c r="C68" s="97"/>
      <c r="D68" s="477"/>
      <c r="E68" s="477"/>
      <c r="F68" s="477"/>
      <c r="G68" s="477"/>
      <c r="H68" s="477"/>
      <c r="J68" s="297" t="s">
        <v>952</v>
      </c>
      <c r="K68" s="101">
        <v>2</v>
      </c>
      <c r="L68" s="86">
        <f t="shared" si="17"/>
        <v>4</v>
      </c>
      <c r="M68" s="86">
        <f>COUNTIFS($K$1:$K68,1)</f>
        <v>10</v>
      </c>
      <c r="N68" s="86">
        <f t="shared" si="16"/>
        <v>5</v>
      </c>
      <c r="O68" s="86"/>
      <c r="P68" s="98" t="str">
        <f t="shared" si="3"/>
        <v>4.10.5.</v>
      </c>
      <c r="Q68" s="101"/>
    </row>
    <row r="69" spans="1:17" ht="13.8" x14ac:dyDescent="0.3">
      <c r="A69" s="54" t="str">
        <f t="shared" si="7"/>
        <v>4.11.</v>
      </c>
      <c r="B69" s="197" t="s">
        <v>361</v>
      </c>
      <c r="C69" s="95"/>
      <c r="D69" s="479"/>
      <c r="E69" s="479"/>
      <c r="F69" s="479"/>
      <c r="G69" s="479"/>
      <c r="H69" s="479"/>
      <c r="J69" s="297" t="s">
        <v>953</v>
      </c>
      <c r="K69" s="101">
        <v>1</v>
      </c>
      <c r="L69" s="86">
        <f t="shared" si="17"/>
        <v>4</v>
      </c>
      <c r="M69" s="86">
        <f>COUNTIFS($K$1:$K69,1)</f>
        <v>11</v>
      </c>
      <c r="N69" s="86" t="str">
        <f t="shared" si="16"/>
        <v/>
      </c>
      <c r="O69" s="86"/>
      <c r="P69" s="98" t="str">
        <f t="shared" si="3"/>
        <v>4.11.</v>
      </c>
      <c r="Q69" s="101"/>
    </row>
    <row r="70" spans="1:17" ht="13.8" x14ac:dyDescent="0.3">
      <c r="A70" s="44" t="str">
        <f t="shared" si="7"/>
        <v>4.11.1.</v>
      </c>
      <c r="B70" s="103" t="s">
        <v>357</v>
      </c>
      <c r="C70" s="94"/>
      <c r="D70" s="480"/>
      <c r="E70" s="480"/>
      <c r="F70" s="480"/>
      <c r="G70" s="480"/>
      <c r="H70" s="480"/>
      <c r="J70" s="297" t="s">
        <v>948</v>
      </c>
      <c r="K70" s="101">
        <v>2</v>
      </c>
      <c r="L70" s="86">
        <f t="shared" si="17"/>
        <v>4</v>
      </c>
      <c r="M70" s="86">
        <f>COUNTIFS($K$1:$K70,1)</f>
        <v>11</v>
      </c>
      <c r="N70" s="86">
        <f t="shared" si="16"/>
        <v>1</v>
      </c>
      <c r="O70" s="86"/>
      <c r="P70" s="98" t="str">
        <f t="shared" si="3"/>
        <v>4.11.1.</v>
      </c>
      <c r="Q70" s="101"/>
    </row>
    <row r="71" spans="1:17" ht="13.8" x14ac:dyDescent="0.3">
      <c r="A71" s="44" t="str">
        <f t="shared" si="7"/>
        <v>4.11.2.</v>
      </c>
      <c r="B71" s="13" t="s">
        <v>18</v>
      </c>
      <c r="C71" s="308" t="s">
        <v>240</v>
      </c>
      <c r="D71" s="321"/>
      <c r="E71" s="321"/>
      <c r="F71" s="321"/>
      <c r="G71" s="321"/>
      <c r="H71" s="321"/>
      <c r="J71" s="298" t="s">
        <v>949</v>
      </c>
      <c r="K71" s="101">
        <v>2</v>
      </c>
      <c r="L71" s="86">
        <f t="shared" si="17"/>
        <v>4</v>
      </c>
      <c r="M71" s="86">
        <f>COUNTIFS($K$1:$K71,1)</f>
        <v>11</v>
      </c>
      <c r="N71" s="86">
        <f t="shared" si="16"/>
        <v>2</v>
      </c>
      <c r="O71" s="86"/>
      <c r="P71" s="98" t="str">
        <f t="shared" ref="P71:P86" si="21">CONCATENATE($L71, ".", $M71, IF($N71&lt;&gt;"", CONCATENATE(".", $N71), ""), ".")</f>
        <v>4.11.2.</v>
      </c>
      <c r="Q71" s="101"/>
    </row>
    <row r="72" spans="1:17" ht="13.8" x14ac:dyDescent="0.3">
      <c r="A72" s="44" t="str">
        <f t="shared" si="7"/>
        <v>4.11.3.</v>
      </c>
      <c r="B72" s="13" t="s">
        <v>19</v>
      </c>
      <c r="C72" s="14" t="str">
        <f>CONCATENATE("Eur/",C71)</f>
        <v>Eur/val.</v>
      </c>
      <c r="D72" s="361" t="str">
        <f>IFERROR(ROUND(D73/D71,2),"-")</f>
        <v>-</v>
      </c>
      <c r="E72" s="322"/>
      <c r="F72" s="322"/>
      <c r="G72" s="322"/>
      <c r="H72" s="322"/>
      <c r="J72" s="297" t="s">
        <v>951</v>
      </c>
      <c r="K72" s="101">
        <v>2</v>
      </c>
      <c r="L72" s="86">
        <f t="shared" si="17"/>
        <v>4</v>
      </c>
      <c r="M72" s="86">
        <f>COUNTIFS($K$1:$K72,1)</f>
        <v>11</v>
      </c>
      <c r="N72" s="86">
        <f t="shared" si="16"/>
        <v>3</v>
      </c>
      <c r="O72" s="86"/>
      <c r="P72" s="98" t="str">
        <f t="shared" si="21"/>
        <v>4.11.3.</v>
      </c>
      <c r="Q72" s="101"/>
    </row>
    <row r="73" spans="1:17" ht="13.8" x14ac:dyDescent="0.3">
      <c r="A73" s="44" t="str">
        <f t="shared" si="7"/>
        <v>4.11.4.</v>
      </c>
      <c r="B73" s="13" t="s">
        <v>360</v>
      </c>
      <c r="C73" s="14" t="s">
        <v>15</v>
      </c>
      <c r="D73" s="321"/>
      <c r="E73" s="362">
        <f>ROUND(E71*E72,0)</f>
        <v>0</v>
      </c>
      <c r="F73" s="362">
        <f t="shared" ref="F73:H73" si="22">ROUND(F71*F72,0)</f>
        <v>0</v>
      </c>
      <c r="G73" s="362">
        <f t="shared" si="22"/>
        <v>0</v>
      </c>
      <c r="H73" s="362">
        <f t="shared" si="22"/>
        <v>0</v>
      </c>
      <c r="J73" s="297"/>
      <c r="K73" s="101">
        <v>2</v>
      </c>
      <c r="L73" s="86">
        <f t="shared" si="17"/>
        <v>4</v>
      </c>
      <c r="M73" s="86">
        <f>COUNTIFS($K$1:$K73,1)</f>
        <v>11</v>
      </c>
      <c r="N73" s="86">
        <f t="shared" si="16"/>
        <v>4</v>
      </c>
      <c r="O73" s="86"/>
      <c r="P73" s="98" t="str">
        <f t="shared" si="21"/>
        <v>4.11.4.</v>
      </c>
      <c r="Q73" s="101"/>
    </row>
    <row r="74" spans="1:17" ht="30" customHeight="1" thickBot="1" x14ac:dyDescent="0.35">
      <c r="A74" s="104" t="str">
        <f t="shared" si="7"/>
        <v>4.11.5.</v>
      </c>
      <c r="B74" s="102" t="s">
        <v>367</v>
      </c>
      <c r="C74" s="97"/>
      <c r="D74" s="477"/>
      <c r="E74" s="477"/>
      <c r="F74" s="477"/>
      <c r="G74" s="477"/>
      <c r="H74" s="477"/>
      <c r="J74" s="297" t="s">
        <v>952</v>
      </c>
      <c r="K74" s="101">
        <v>2</v>
      </c>
      <c r="L74" s="86">
        <f t="shared" si="17"/>
        <v>4</v>
      </c>
      <c r="M74" s="86">
        <f>COUNTIFS($K$1:$K74,1)</f>
        <v>11</v>
      </c>
      <c r="N74" s="86">
        <f t="shared" si="16"/>
        <v>5</v>
      </c>
      <c r="O74" s="86"/>
      <c r="P74" s="98" t="str">
        <f t="shared" si="21"/>
        <v>4.11.5.</v>
      </c>
      <c r="Q74" s="101"/>
    </row>
    <row r="75" spans="1:17" ht="13.8" x14ac:dyDescent="0.3">
      <c r="A75" s="54" t="str">
        <f t="shared" si="7"/>
        <v>4.12.</v>
      </c>
      <c r="B75" s="197" t="s">
        <v>363</v>
      </c>
      <c r="C75" s="95"/>
      <c r="D75" s="479"/>
      <c r="E75" s="479"/>
      <c r="F75" s="479"/>
      <c r="G75" s="479"/>
      <c r="H75" s="479"/>
      <c r="J75" s="297" t="s">
        <v>954</v>
      </c>
      <c r="K75" s="101">
        <v>1</v>
      </c>
      <c r="L75" s="86">
        <f t="shared" si="17"/>
        <v>4</v>
      </c>
      <c r="M75" s="86">
        <f>COUNTIFS($K$1:$K75,1)</f>
        <v>12</v>
      </c>
      <c r="N75" s="86" t="str">
        <f t="shared" si="16"/>
        <v/>
      </c>
      <c r="O75" s="86"/>
      <c r="P75" s="98" t="str">
        <f t="shared" si="21"/>
        <v>4.12.</v>
      </c>
      <c r="Q75" s="101"/>
    </row>
    <row r="76" spans="1:17" ht="13.8" x14ac:dyDescent="0.3">
      <c r="A76" s="44" t="str">
        <f t="shared" ref="A76:A86" si="23">CONCATENATE($L76, ".", $M76, IF($N76&lt;&gt;"", CONCATENATE(".", $N76), ""), ".")</f>
        <v>4.12.1.</v>
      </c>
      <c r="B76" s="103" t="s">
        <v>357</v>
      </c>
      <c r="C76" s="94"/>
      <c r="D76" s="478"/>
      <c r="E76" s="478"/>
      <c r="F76" s="478"/>
      <c r="G76" s="478"/>
      <c r="H76" s="478"/>
      <c r="J76" s="297" t="s">
        <v>948</v>
      </c>
      <c r="K76" s="101">
        <v>2</v>
      </c>
      <c r="L76" s="86">
        <f t="shared" si="17"/>
        <v>4</v>
      </c>
      <c r="M76" s="86">
        <f>COUNTIFS($K$1:$K76,1)</f>
        <v>12</v>
      </c>
      <c r="N76" s="86">
        <f t="shared" si="16"/>
        <v>1</v>
      </c>
      <c r="O76" s="86"/>
      <c r="P76" s="98" t="str">
        <f t="shared" si="21"/>
        <v>4.12.1.</v>
      </c>
      <c r="Q76" s="101"/>
    </row>
    <row r="77" spans="1:17" ht="13.8" x14ac:dyDescent="0.3">
      <c r="A77" s="44" t="str">
        <f t="shared" si="23"/>
        <v>4.12.2.</v>
      </c>
      <c r="B77" s="22" t="s">
        <v>18</v>
      </c>
      <c r="C77" s="308" t="s">
        <v>20</v>
      </c>
      <c r="D77" s="321"/>
      <c r="E77" s="321"/>
      <c r="F77" s="321"/>
      <c r="G77" s="321"/>
      <c r="H77" s="321"/>
      <c r="J77" s="298" t="s">
        <v>949</v>
      </c>
      <c r="K77" s="101">
        <v>2</v>
      </c>
      <c r="L77" s="86">
        <f t="shared" si="17"/>
        <v>4</v>
      </c>
      <c r="M77" s="86">
        <f>COUNTIFS($K$1:$K77,1)</f>
        <v>12</v>
      </c>
      <c r="N77" s="86">
        <f t="shared" si="16"/>
        <v>2</v>
      </c>
      <c r="O77" s="86"/>
      <c r="P77" s="98" t="str">
        <f t="shared" si="21"/>
        <v>4.12.2.</v>
      </c>
      <c r="Q77" s="101"/>
    </row>
    <row r="78" spans="1:17" ht="13.8" x14ac:dyDescent="0.3">
      <c r="A78" s="44" t="str">
        <f t="shared" si="23"/>
        <v>4.12.3.</v>
      </c>
      <c r="B78" s="22" t="s">
        <v>19</v>
      </c>
      <c r="C78" s="14" t="str">
        <f>CONCATENATE("Eur/",C77)</f>
        <v>Eur/vnt.</v>
      </c>
      <c r="D78" s="361" t="str">
        <f>IFERROR(ROUND(D79/D77,2),"-")</f>
        <v>-</v>
      </c>
      <c r="E78" s="322"/>
      <c r="F78" s="322"/>
      <c r="G78" s="322"/>
      <c r="H78" s="322"/>
      <c r="J78" s="297" t="s">
        <v>951</v>
      </c>
      <c r="K78" s="101">
        <v>2</v>
      </c>
      <c r="L78" s="86">
        <f t="shared" si="17"/>
        <v>4</v>
      </c>
      <c r="M78" s="86">
        <f>COUNTIFS($K$1:$K78,1)</f>
        <v>12</v>
      </c>
      <c r="N78" s="86">
        <f t="shared" si="16"/>
        <v>3</v>
      </c>
      <c r="O78" s="86"/>
      <c r="P78" s="98" t="str">
        <f t="shared" si="21"/>
        <v>4.12.3.</v>
      </c>
      <c r="Q78" s="101"/>
    </row>
    <row r="79" spans="1:17" ht="13.8" x14ac:dyDescent="0.3">
      <c r="A79" s="44" t="str">
        <f t="shared" si="23"/>
        <v>4.12.4.</v>
      </c>
      <c r="B79" s="24" t="s">
        <v>364</v>
      </c>
      <c r="C79" s="41" t="s">
        <v>15</v>
      </c>
      <c r="D79" s="321"/>
      <c r="E79" s="362">
        <f>ROUND(E77*E78,0)</f>
        <v>0</v>
      </c>
      <c r="F79" s="362">
        <f t="shared" ref="F79:H79" si="24">ROUND(F77*F78,0)</f>
        <v>0</v>
      </c>
      <c r="G79" s="362">
        <f t="shared" si="24"/>
        <v>0</v>
      </c>
      <c r="H79" s="362">
        <f t="shared" si="24"/>
        <v>0</v>
      </c>
      <c r="J79" s="297"/>
      <c r="K79" s="101">
        <v>2</v>
      </c>
      <c r="L79" s="86">
        <f t="shared" si="17"/>
        <v>4</v>
      </c>
      <c r="M79" s="86">
        <f>COUNTIFS($K$1:$K79,1)</f>
        <v>12</v>
      </c>
      <c r="N79" s="86">
        <f t="shared" si="16"/>
        <v>4</v>
      </c>
      <c r="O79" s="86"/>
      <c r="P79" s="98" t="str">
        <f t="shared" si="21"/>
        <v>4.12.4.</v>
      </c>
      <c r="Q79" s="101"/>
    </row>
    <row r="80" spans="1:17" ht="30" customHeight="1" thickBot="1" x14ac:dyDescent="0.35">
      <c r="A80" s="104" t="str">
        <f t="shared" si="23"/>
        <v>4.12.5.</v>
      </c>
      <c r="B80" s="96" t="s">
        <v>367</v>
      </c>
      <c r="C80" s="97"/>
      <c r="D80" s="477"/>
      <c r="E80" s="477"/>
      <c r="F80" s="477"/>
      <c r="G80" s="477"/>
      <c r="H80" s="477"/>
      <c r="J80" s="297" t="s">
        <v>952</v>
      </c>
      <c r="K80" s="101">
        <v>2</v>
      </c>
      <c r="L80" s="86">
        <f t="shared" si="17"/>
        <v>4</v>
      </c>
      <c r="M80" s="86">
        <f>COUNTIFS($K$1:$K80,1)</f>
        <v>12</v>
      </c>
      <c r="N80" s="86">
        <f t="shared" si="16"/>
        <v>5</v>
      </c>
      <c r="O80" s="86"/>
      <c r="P80" s="98" t="str">
        <f t="shared" si="21"/>
        <v>4.12.5.</v>
      </c>
      <c r="Q80" s="101"/>
    </row>
    <row r="81" spans="1:17" ht="13.8" x14ac:dyDescent="0.3">
      <c r="A81" s="54" t="str">
        <f t="shared" si="23"/>
        <v>4.13.</v>
      </c>
      <c r="B81" s="197" t="s">
        <v>363</v>
      </c>
      <c r="C81" s="95"/>
      <c r="D81" s="479"/>
      <c r="E81" s="479"/>
      <c r="F81" s="479"/>
      <c r="G81" s="479"/>
      <c r="H81" s="479"/>
      <c r="J81" s="297" t="s">
        <v>954</v>
      </c>
      <c r="K81" s="101">
        <v>1</v>
      </c>
      <c r="L81" s="86">
        <f t="shared" si="17"/>
        <v>4</v>
      </c>
      <c r="M81" s="86">
        <f>COUNTIFS($K$1:$K81,1)</f>
        <v>13</v>
      </c>
      <c r="N81" s="86" t="str">
        <f t="shared" ref="N81:N86" si="25">IF($K81=$N$1,IF($K81&lt;&gt;$K80, 1, N80+1),"")</f>
        <v/>
      </c>
      <c r="O81" s="86"/>
      <c r="P81" s="98" t="str">
        <f t="shared" si="21"/>
        <v>4.13.</v>
      </c>
      <c r="Q81" s="101"/>
    </row>
    <row r="82" spans="1:17" ht="13.8" x14ac:dyDescent="0.3">
      <c r="A82" s="44" t="str">
        <f t="shared" si="23"/>
        <v>4.13.1.</v>
      </c>
      <c r="B82" s="103" t="s">
        <v>357</v>
      </c>
      <c r="C82" s="94"/>
      <c r="D82" s="480"/>
      <c r="E82" s="480"/>
      <c r="F82" s="480"/>
      <c r="G82" s="480"/>
      <c r="H82" s="480"/>
      <c r="J82" s="297" t="s">
        <v>948</v>
      </c>
      <c r="K82" s="101">
        <v>2</v>
      </c>
      <c r="L82" s="86">
        <f t="shared" si="17"/>
        <v>4</v>
      </c>
      <c r="M82" s="86">
        <f>COUNTIFS($K$1:$K82,1)</f>
        <v>13</v>
      </c>
      <c r="N82" s="86">
        <f t="shared" si="25"/>
        <v>1</v>
      </c>
      <c r="O82" s="86"/>
      <c r="P82" s="98" t="str">
        <f t="shared" si="21"/>
        <v>4.13.1.</v>
      </c>
      <c r="Q82" s="101"/>
    </row>
    <row r="83" spans="1:17" ht="13.8" x14ac:dyDescent="0.3">
      <c r="A83" s="44" t="str">
        <f t="shared" si="23"/>
        <v>4.13.2.</v>
      </c>
      <c r="B83" s="22" t="s">
        <v>18</v>
      </c>
      <c r="C83" s="308" t="s">
        <v>371</v>
      </c>
      <c r="D83" s="321"/>
      <c r="E83" s="321"/>
      <c r="F83" s="321"/>
      <c r="G83" s="321"/>
      <c r="H83" s="321"/>
      <c r="J83" s="298" t="s">
        <v>949</v>
      </c>
      <c r="K83" s="101">
        <v>2</v>
      </c>
      <c r="L83" s="86">
        <f t="shared" si="17"/>
        <v>4</v>
      </c>
      <c r="M83" s="86">
        <f>COUNTIFS($K$1:$K83,1)</f>
        <v>13</v>
      </c>
      <c r="N83" s="86">
        <f t="shared" si="25"/>
        <v>2</v>
      </c>
      <c r="O83" s="86"/>
      <c r="P83" s="98" t="str">
        <f t="shared" si="21"/>
        <v>4.13.2.</v>
      </c>
      <c r="Q83" s="101"/>
    </row>
    <row r="84" spans="1:17" ht="13.8" x14ac:dyDescent="0.3">
      <c r="A84" s="44" t="str">
        <f t="shared" si="23"/>
        <v>4.13.3.</v>
      </c>
      <c r="B84" s="22" t="s">
        <v>19</v>
      </c>
      <c r="C84" s="14" t="str">
        <f>CONCATENATE("Eur/",C83)</f>
        <v>Eur/m3</v>
      </c>
      <c r="D84" s="361" t="str">
        <f>IFERROR(ROUND(D85/D83,2),"-")</f>
        <v>-</v>
      </c>
      <c r="E84" s="322"/>
      <c r="F84" s="322"/>
      <c r="G84" s="322"/>
      <c r="H84" s="322"/>
      <c r="J84" s="297" t="s">
        <v>951</v>
      </c>
      <c r="K84" s="101">
        <v>2</v>
      </c>
      <c r="L84" s="86">
        <f t="shared" si="17"/>
        <v>4</v>
      </c>
      <c r="M84" s="86">
        <f>COUNTIFS($K$1:$K84,1)</f>
        <v>13</v>
      </c>
      <c r="N84" s="86">
        <f t="shared" si="25"/>
        <v>3</v>
      </c>
      <c r="O84" s="86"/>
      <c r="P84" s="98" t="str">
        <f t="shared" si="21"/>
        <v>4.13.3.</v>
      </c>
      <c r="Q84" s="101"/>
    </row>
    <row r="85" spans="1:17" ht="13.8" x14ac:dyDescent="0.3">
      <c r="A85" s="44" t="str">
        <f t="shared" si="23"/>
        <v>4.13.4.</v>
      </c>
      <c r="B85" s="24" t="s">
        <v>364</v>
      </c>
      <c r="C85" s="41" t="s">
        <v>15</v>
      </c>
      <c r="D85" s="321"/>
      <c r="E85" s="362">
        <f>ROUND(E83*E84,0)</f>
        <v>0</v>
      </c>
      <c r="F85" s="362">
        <f t="shared" ref="F85:H85" si="26">ROUND(F83*F84,0)</f>
        <v>0</v>
      </c>
      <c r="G85" s="362">
        <f t="shared" si="26"/>
        <v>0</v>
      </c>
      <c r="H85" s="362">
        <f t="shared" si="26"/>
        <v>0</v>
      </c>
      <c r="J85" s="297"/>
      <c r="K85" s="101">
        <v>2</v>
      </c>
      <c r="L85" s="86">
        <f t="shared" si="17"/>
        <v>4</v>
      </c>
      <c r="M85" s="86">
        <f>COUNTIFS($K$1:$K85,1)</f>
        <v>13</v>
      </c>
      <c r="N85" s="86">
        <f t="shared" si="25"/>
        <v>4</v>
      </c>
      <c r="O85" s="86"/>
      <c r="P85" s="98" t="str">
        <f t="shared" si="21"/>
        <v>4.13.4.</v>
      </c>
      <c r="Q85" s="101"/>
    </row>
    <row r="86" spans="1:17" ht="30" customHeight="1" thickBot="1" x14ac:dyDescent="0.35">
      <c r="A86" s="104" t="str">
        <f t="shared" si="23"/>
        <v>4.13.5.</v>
      </c>
      <c r="B86" s="96" t="s">
        <v>367</v>
      </c>
      <c r="C86" s="97"/>
      <c r="D86" s="477"/>
      <c r="E86" s="477"/>
      <c r="F86" s="477"/>
      <c r="G86" s="477"/>
      <c r="H86" s="477"/>
      <c r="J86" s="297" t="s">
        <v>952</v>
      </c>
      <c r="K86" s="101">
        <v>2</v>
      </c>
      <c r="L86" s="86">
        <f t="shared" si="17"/>
        <v>4</v>
      </c>
      <c r="M86" s="86">
        <f>COUNTIFS($K$1:$K86,1)</f>
        <v>13</v>
      </c>
      <c r="N86" s="86">
        <f t="shared" si="25"/>
        <v>5</v>
      </c>
      <c r="O86" s="86"/>
      <c r="P86" s="98" t="str">
        <f t="shared" si="21"/>
        <v>4.13.5.</v>
      </c>
      <c r="Q86" s="101"/>
    </row>
  </sheetData>
  <sheetProtection algorithmName="SHA-512" hashValue="rao02kr6gCcab4yiVtHhd6y8czCng7JimvYEsglAhNhoQu127Sfu+902cjceet0zg23oCu9NjIQO8pOvLn4dQw==" saltValue="gHIMTkZ/qOCgRYGPgwg8RQ==" spinCount="100000" sheet="1" objects="1" scenarios="1" formatRows="0"/>
  <mergeCells count="40">
    <mergeCell ref="D16:H16"/>
    <mergeCell ref="D46:H46"/>
    <mergeCell ref="D51:H51"/>
    <mergeCell ref="D52:H52"/>
    <mergeCell ref="D57:H57"/>
    <mergeCell ref="D37:H37"/>
    <mergeCell ref="D44:H44"/>
    <mergeCell ref="D30:H30"/>
    <mergeCell ref="D50:H50"/>
    <mergeCell ref="D56:H56"/>
    <mergeCell ref="D76:H76"/>
    <mergeCell ref="D81:H81"/>
    <mergeCell ref="D82:H82"/>
    <mergeCell ref="D23:H23"/>
    <mergeCell ref="D80:H80"/>
    <mergeCell ref="D62:H62"/>
    <mergeCell ref="D68:H68"/>
    <mergeCell ref="D74:H74"/>
    <mergeCell ref="D58:H58"/>
    <mergeCell ref="D86:H86"/>
    <mergeCell ref="D11:H11"/>
    <mergeCell ref="D63:H63"/>
    <mergeCell ref="D64:H64"/>
    <mergeCell ref="D69:H69"/>
    <mergeCell ref="D70:H70"/>
    <mergeCell ref="D17:H17"/>
    <mergeCell ref="D18:H18"/>
    <mergeCell ref="D24:H24"/>
    <mergeCell ref="D25:H25"/>
    <mergeCell ref="D31:H31"/>
    <mergeCell ref="D32:H32"/>
    <mergeCell ref="D38:H38"/>
    <mergeCell ref="D39:H39"/>
    <mergeCell ref="D45:H45"/>
    <mergeCell ref="D75:H75"/>
    <mergeCell ref="B2:H2"/>
    <mergeCell ref="A4:B5"/>
    <mergeCell ref="C4:C5"/>
    <mergeCell ref="E4:H4"/>
    <mergeCell ref="D10:H10"/>
  </mergeCells>
  <phoneticPr fontId="12" type="noConversion"/>
  <conditionalFormatting sqref="C12">
    <cfRule type="expression" dxfId="100" priority="6">
      <formula>C12=""</formula>
    </cfRule>
  </conditionalFormatting>
  <conditionalFormatting sqref="D5:H5">
    <cfRule type="expression" dxfId="99"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D5:H5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8">
    <tabColor theme="9" tint="-0.249977111117893"/>
  </sheetPr>
  <dimension ref="A1:P90"/>
  <sheetViews>
    <sheetView zoomScale="88" zoomScaleNormal="130" workbookViewId="0">
      <selection activeCell="C12" sqref="C12"/>
    </sheetView>
  </sheetViews>
  <sheetFormatPr defaultColWidth="8.6640625" defaultRowHeight="13.8" x14ac:dyDescent="0.3"/>
  <cols>
    <col min="1" max="1" width="8.6640625" style="11"/>
    <col min="2" max="2" width="25.6640625" style="11" customWidth="1"/>
    <col min="3" max="6" width="23.5546875" style="11" customWidth="1"/>
    <col min="7" max="7" width="5.88671875" style="10" customWidth="1"/>
    <col min="8" max="8" width="43.5546875" style="20" customWidth="1"/>
    <col min="9" max="10" width="8.6640625" style="11" hidden="1" customWidth="1"/>
    <col min="11" max="11" width="8.6640625" style="11" customWidth="1"/>
    <col min="12" max="16384" width="8.6640625" style="11"/>
  </cols>
  <sheetData>
    <row r="1" spans="1:16" s="7" customFormat="1" ht="15.6" x14ac:dyDescent="0.3">
      <c r="A1" s="143" t="s">
        <v>9</v>
      </c>
      <c r="B1" s="490" t="s">
        <v>416</v>
      </c>
      <c r="C1" s="490"/>
      <c r="D1" s="490"/>
      <c r="E1" s="144"/>
      <c r="F1" s="144"/>
      <c r="G1" s="31"/>
      <c r="H1" s="299" t="s">
        <v>293</v>
      </c>
      <c r="I1" s="88" t="s">
        <v>350</v>
      </c>
      <c r="J1" s="88" t="s">
        <v>349</v>
      </c>
      <c r="K1" s="88"/>
      <c r="L1" s="2"/>
      <c r="M1" s="2"/>
      <c r="N1" s="2"/>
      <c r="O1" s="2"/>
      <c r="P1" s="2"/>
    </row>
    <row r="2" spans="1:16" x14ac:dyDescent="0.3">
      <c r="H2" s="276"/>
      <c r="I2" s="86"/>
      <c r="J2" s="88"/>
      <c r="K2" s="88"/>
    </row>
    <row r="3" spans="1:16" s="7" customFormat="1" x14ac:dyDescent="0.3">
      <c r="A3" s="145" t="s">
        <v>13</v>
      </c>
      <c r="B3" s="146" t="s">
        <v>412</v>
      </c>
      <c r="C3" s="147"/>
      <c r="D3" s="32"/>
      <c r="E3" s="32"/>
      <c r="F3" s="32"/>
      <c r="G3" s="32"/>
      <c r="H3" s="300"/>
      <c r="I3" s="85"/>
    </row>
    <row r="4" spans="1:16" ht="14.4" thickBot="1" x14ac:dyDescent="0.35">
      <c r="A4" s="238"/>
      <c r="B4" s="239" t="s">
        <v>338</v>
      </c>
      <c r="C4" s="239" t="s">
        <v>60</v>
      </c>
      <c r="D4" s="10"/>
      <c r="E4" s="10"/>
      <c r="F4" s="10"/>
      <c r="H4" s="280"/>
      <c r="I4" s="86"/>
    </row>
    <row r="5" spans="1:16" ht="14.4" thickTop="1" x14ac:dyDescent="0.3">
      <c r="A5" s="33" t="s">
        <v>659</v>
      </c>
      <c r="B5" s="237" t="s">
        <v>61</v>
      </c>
      <c r="C5" s="363">
        <f>SUMIFS(E:E,B:B,B5)</f>
        <v>0</v>
      </c>
      <c r="H5" s="280"/>
      <c r="I5" s="86"/>
    </row>
    <row r="6" spans="1:16" x14ac:dyDescent="0.3">
      <c r="A6" s="34" t="s">
        <v>660</v>
      </c>
      <c r="B6" s="81" t="s">
        <v>62</v>
      </c>
      <c r="C6" s="364">
        <f>SUMIFS(E:E,B:B,B6)</f>
        <v>0</v>
      </c>
      <c r="D6" s="10"/>
      <c r="E6" s="10"/>
      <c r="F6" s="10"/>
      <c r="I6" s="86"/>
    </row>
    <row r="7" spans="1:16" x14ac:dyDescent="0.3">
      <c r="A7" s="34" t="s">
        <v>661</v>
      </c>
      <c r="B7" s="81" t="s">
        <v>63</v>
      </c>
      <c r="C7" s="364">
        <f>SUMIFS(E:E,B:B,B7)</f>
        <v>0</v>
      </c>
      <c r="D7" s="10"/>
      <c r="E7" s="10"/>
      <c r="F7" s="10"/>
      <c r="I7" s="86"/>
      <c r="K7" s="10"/>
    </row>
    <row r="8" spans="1:16" x14ac:dyDescent="0.3">
      <c r="A8" s="34" t="s">
        <v>662</v>
      </c>
      <c r="B8" s="81" t="s">
        <v>64</v>
      </c>
      <c r="C8" s="364">
        <f>SUMIFS(E:E,B:B,B8)</f>
        <v>0</v>
      </c>
      <c r="D8" s="10"/>
      <c r="E8" s="10"/>
      <c r="F8" s="10"/>
      <c r="I8" s="86"/>
      <c r="K8" s="10"/>
    </row>
    <row r="9" spans="1:16" x14ac:dyDescent="0.3">
      <c r="A9" s="34" t="s">
        <v>663</v>
      </c>
      <c r="B9" s="258" t="s">
        <v>37</v>
      </c>
      <c r="C9" s="365">
        <f>SUM(C5:C8)</f>
        <v>0</v>
      </c>
      <c r="D9" s="10"/>
      <c r="E9" s="10"/>
      <c r="F9" s="10"/>
      <c r="I9" s="86"/>
      <c r="K9" s="10"/>
    </row>
    <row r="10" spans="1:16" x14ac:dyDescent="0.3">
      <c r="A10" s="34" t="s">
        <v>664</v>
      </c>
      <c r="B10" s="81" t="s">
        <v>65</v>
      </c>
      <c r="C10" s="366">
        <f>E19</f>
        <v>0</v>
      </c>
      <c r="D10" s="10"/>
      <c r="E10" s="10"/>
      <c r="F10" s="10"/>
      <c r="I10" s="86"/>
      <c r="K10" s="10"/>
    </row>
    <row r="11" spans="1:16" x14ac:dyDescent="0.3">
      <c r="A11" s="34" t="s">
        <v>665</v>
      </c>
      <c r="B11" s="81" t="s">
        <v>347</v>
      </c>
      <c r="C11" s="323"/>
      <c r="D11" s="127">
        <f>F19</f>
        <v>0</v>
      </c>
      <c r="E11" s="81" t="s">
        <v>399</v>
      </c>
      <c r="F11" s="10"/>
      <c r="H11" s="276" t="s">
        <v>960</v>
      </c>
      <c r="I11" s="86"/>
    </row>
    <row r="12" spans="1:16" x14ac:dyDescent="0.3">
      <c r="A12" s="34" t="s">
        <v>666</v>
      </c>
      <c r="B12" s="81" t="s">
        <v>337</v>
      </c>
      <c r="C12" s="309" t="s">
        <v>933</v>
      </c>
      <c r="D12" s="82"/>
      <c r="F12" s="10"/>
      <c r="H12" s="128" t="str">
        <f>IF(OR(C12=Konstantos!$A$84,'5'!C12=""),"Pasirinkite paramos išmokėjimo būdą","ok")</f>
        <v>Pasirinkite paramos išmokėjimo būdą</v>
      </c>
      <c r="I12" s="86"/>
    </row>
    <row r="13" spans="1:16" x14ac:dyDescent="0.3">
      <c r="A13" s="34" t="s">
        <v>667</v>
      </c>
      <c r="B13" s="81" t="str">
        <f>IFERROR(IF(SEARCH("*avans*",C12)=1, "Prašomo išmokėti avanso dalis, proc.",""),"")</f>
        <v/>
      </c>
      <c r="C13" s="324"/>
      <c r="F13" s="10"/>
      <c r="H13" s="277" t="str">
        <f>IF(AND(B13="",C13&lt;&gt;0),"Ištrinkite duomenis",IF(AND(B13&lt;&gt;"",C13=0),   _xlfn.CONCAT("Jei pasirinktas paramos išmokėjimo būdas 'Kompensavimas su avansu', būtina įvesti avanso dydį procentais. Avanso dydis negali būti didesnis kaip ",Parametrai!C27*100," proc. nuo paramos dydžio."),"ok"))</f>
        <v>ok</v>
      </c>
      <c r="I13" s="86"/>
    </row>
    <row r="14" spans="1:16" x14ac:dyDescent="0.3">
      <c r="A14" s="34" t="s">
        <v>668</v>
      </c>
      <c r="B14" s="81" t="str">
        <f>IFERROR(IF(SEARCH("*avans*",C12)=1, "Paramos išmokėjimas avansu, Eur",""),"")</f>
        <v/>
      </c>
      <c r="C14" s="367">
        <f>IF(B14&lt;&gt;"",C13*C11,0)</f>
        <v>0</v>
      </c>
      <c r="D14" s="82"/>
      <c r="F14" s="10"/>
      <c r="H14" s="276"/>
      <c r="I14" s="87"/>
    </row>
    <row r="15" spans="1:16" x14ac:dyDescent="0.3">
      <c r="A15" s="34" t="s">
        <v>669</v>
      </c>
      <c r="B15" s="81" t="str">
        <f>IFERROR(IF(SEARCH("*avans*",C12)=1, "Planuojama avanso išmokėjimo data",""),"")</f>
        <v/>
      </c>
      <c r="C15" s="325"/>
      <c r="D15" s="82"/>
      <c r="F15" s="10"/>
      <c r="H15" s="277" t="str">
        <f>IF(AND(B15="",C15&lt;&gt;0),"Ištrinkite datą",IF(AND(B15&lt;&gt;"",C15=0),"Įveskite datą","ok"))</f>
        <v>ok</v>
      </c>
      <c r="I15" s="86"/>
    </row>
    <row r="16" spans="1:16" x14ac:dyDescent="0.3">
      <c r="H16" s="276"/>
      <c r="I16" s="86"/>
    </row>
    <row r="17" spans="1:11" x14ac:dyDescent="0.3">
      <c r="A17" s="247" t="s">
        <v>16</v>
      </c>
      <c r="B17" s="491" t="s">
        <v>66</v>
      </c>
      <c r="C17" s="491"/>
      <c r="D17" s="491"/>
      <c r="E17" s="491"/>
      <c r="F17" s="491"/>
      <c r="H17" s="276"/>
      <c r="I17" s="86"/>
    </row>
    <row r="18" spans="1:11" ht="28.2" thickBot="1" x14ac:dyDescent="0.35">
      <c r="A18" s="252"/>
      <c r="B18" s="148" t="s">
        <v>67</v>
      </c>
      <c r="C18" s="148" t="s">
        <v>415</v>
      </c>
      <c r="D18" s="148" t="s">
        <v>68</v>
      </c>
      <c r="E18" s="148" t="s">
        <v>69</v>
      </c>
      <c r="F18" s="148" t="s">
        <v>41</v>
      </c>
      <c r="H18" s="276"/>
      <c r="I18" s="86"/>
    </row>
    <row r="19" spans="1:11" ht="15" thickTop="1" thickBot="1" x14ac:dyDescent="0.35">
      <c r="A19" s="253"/>
      <c r="B19" s="259" t="s">
        <v>70</v>
      </c>
      <c r="C19" s="248"/>
      <c r="D19" s="249">
        <f>SUMIFS(D:D,$B:$B,"Iš viso investicijų*")</f>
        <v>0</v>
      </c>
      <c r="E19" s="249">
        <f>SUMIFS(E:E,$B:$B,"Iš viso investicijų*")</f>
        <v>0</v>
      </c>
      <c r="F19" s="249">
        <f>SUMIFS(F:F,$B:$B,"Paramos išmokėjimas*")+$C$14</f>
        <v>0</v>
      </c>
      <c r="H19" s="292" t="s">
        <v>959</v>
      </c>
      <c r="I19" s="86"/>
    </row>
    <row r="20" spans="1:11" ht="14.4" thickTop="1" x14ac:dyDescent="0.3">
      <c r="A20" s="254" t="s">
        <v>428</v>
      </c>
      <c r="B20" s="245" t="s">
        <v>42</v>
      </c>
      <c r="C20" s="326"/>
      <c r="D20" s="246"/>
      <c r="E20" s="246"/>
      <c r="F20" s="246"/>
      <c r="H20" s="276" t="str">
        <f>IF(AND(C20="",D26&lt;&gt;0),"Klaida! Įveskite etapo paramos išmokėjimo prašymo pateikimo datą","ok")</f>
        <v>ok</v>
      </c>
      <c r="I20" s="86"/>
    </row>
    <row r="21" spans="1:11" x14ac:dyDescent="0.3">
      <c r="A21" s="255" t="s">
        <v>429</v>
      </c>
      <c r="B21" s="488"/>
      <c r="C21" s="489"/>
      <c r="D21" s="327"/>
      <c r="E21" s="327"/>
      <c r="F21" s="327"/>
      <c r="H21" s="276"/>
      <c r="I21" s="86"/>
    </row>
    <row r="22" spans="1:11" x14ac:dyDescent="0.3">
      <c r="A22" s="255" t="s">
        <v>430</v>
      </c>
      <c r="B22" s="488"/>
      <c r="C22" s="489"/>
      <c r="D22" s="327"/>
      <c r="E22" s="327"/>
      <c r="F22" s="327"/>
      <c r="H22" s="276"/>
      <c r="I22" s="86"/>
    </row>
    <row r="23" spans="1:11" x14ac:dyDescent="0.3">
      <c r="A23" s="255" t="s">
        <v>431</v>
      </c>
      <c r="B23" s="488"/>
      <c r="C23" s="489"/>
      <c r="D23" s="327"/>
      <c r="E23" s="327"/>
      <c r="F23" s="327"/>
      <c r="H23" s="276"/>
      <c r="I23" s="86"/>
    </row>
    <row r="24" spans="1:11" x14ac:dyDescent="0.3">
      <c r="A24" s="255" t="s">
        <v>432</v>
      </c>
      <c r="B24" s="488"/>
      <c r="C24" s="489"/>
      <c r="D24" s="327"/>
      <c r="E24" s="327"/>
      <c r="F24" s="327"/>
      <c r="H24" s="276"/>
      <c r="I24" s="86"/>
    </row>
    <row r="25" spans="1:11" x14ac:dyDescent="0.3">
      <c r="A25" s="255" t="s">
        <v>433</v>
      </c>
      <c r="B25" s="488"/>
      <c r="C25" s="489"/>
      <c r="D25" s="327"/>
      <c r="E25" s="327"/>
      <c r="F25" s="327"/>
      <c r="H25" s="276"/>
      <c r="I25" s="86"/>
    </row>
    <row r="26" spans="1:11" x14ac:dyDescent="0.3">
      <c r="A26" s="256"/>
      <c r="B26" s="149" t="s">
        <v>555</v>
      </c>
      <c r="C26" s="368" t="str">
        <f>IF(C20="","-",C20)</f>
        <v>-</v>
      </c>
      <c r="D26" s="369">
        <f>SUM(D21:D25)</f>
        <v>0</v>
      </c>
      <c r="E26" s="369">
        <f>SUM(E21:E25)</f>
        <v>0</v>
      </c>
      <c r="F26" s="257"/>
      <c r="H26" s="276"/>
      <c r="I26" s="86"/>
    </row>
    <row r="27" spans="1:11" ht="24" x14ac:dyDescent="0.3">
      <c r="A27" s="256"/>
      <c r="B27" s="150" t="s">
        <v>955</v>
      </c>
      <c r="C27" s="368" t="str">
        <f>IF(C20="","-",EOMONTH(C20,Parametrai!$C$17))</f>
        <v>-</v>
      </c>
      <c r="D27" s="151"/>
      <c r="E27" s="151"/>
      <c r="F27" s="369">
        <f>IF($C$14+SUMIFS($F$17:$F19,$B$17:$B19,"Paramos išmokėjimas*")+SUM(F21:F25)&lt;$C$11,SUM(F21:F25),IF($C$14+SUMIFS($F$17:$F19,$B$17:$B19,"Paramos išmokėjimas*")&lt;=$C$11,$C$11-$C$14-SUMIFS($F$17:$F19,$B$17:$B19,"Paramos išmokėjimas*"),0))</f>
        <v>0</v>
      </c>
      <c r="H27" s="276"/>
      <c r="I27" s="87" t="b">
        <f>OR(SUM(F21:F25)&gt;0)</f>
        <v>0</v>
      </c>
    </row>
    <row r="28" spans="1:11" x14ac:dyDescent="0.3">
      <c r="A28" s="256"/>
      <c r="B28" s="152" t="s">
        <v>413</v>
      </c>
      <c r="C28" s="153"/>
      <c r="D28" s="151"/>
      <c r="E28" s="151"/>
      <c r="F28" s="151"/>
      <c r="H28" s="276"/>
      <c r="I28" s="86"/>
    </row>
    <row r="29" spans="1:11" x14ac:dyDescent="0.3">
      <c r="A29" s="255" t="s">
        <v>434</v>
      </c>
      <c r="B29" s="154" t="s">
        <v>61</v>
      </c>
      <c r="C29" s="151"/>
      <c r="D29" s="151"/>
      <c r="E29" s="327"/>
      <c r="F29" s="151"/>
      <c r="H29" s="276"/>
      <c r="I29" s="86"/>
    </row>
    <row r="30" spans="1:11" x14ac:dyDescent="0.3">
      <c r="A30" s="255" t="s">
        <v>435</v>
      </c>
      <c r="B30" s="154" t="s">
        <v>62</v>
      </c>
      <c r="C30" s="151"/>
      <c r="D30" s="151"/>
      <c r="E30" s="327"/>
      <c r="F30" s="151"/>
      <c r="H30" s="301"/>
      <c r="I30" s="86"/>
    </row>
    <row r="31" spans="1:11" x14ac:dyDescent="0.3">
      <c r="A31" s="255" t="s">
        <v>436</v>
      </c>
      <c r="B31" s="154" t="s">
        <v>63</v>
      </c>
      <c r="C31" s="151"/>
      <c r="D31" s="151"/>
      <c r="E31" s="327"/>
      <c r="F31" s="151"/>
      <c r="H31" s="276"/>
      <c r="I31" s="86"/>
    </row>
    <row r="32" spans="1:11" x14ac:dyDescent="0.3">
      <c r="A32" s="255" t="s">
        <v>437</v>
      </c>
      <c r="B32" s="154" t="s">
        <v>64</v>
      </c>
      <c r="C32" s="151"/>
      <c r="D32" s="151"/>
      <c r="E32" s="327"/>
      <c r="F32" s="151"/>
      <c r="H32" s="276"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Klaida! Pasirinkite paramos išmokėjimo būdą!</v>
      </c>
      <c r="I32" s="87"/>
      <c r="J32" s="87" t="str">
        <f>IF(
    OR(
        $C$12 =
            Konstantos!$A$85,
        $C$12 = Konstantos!$A$87
    ),
    SUMIFS(
        $F$1:$F19,
        $B$1:$B19, "Paramos išmokėjimas*"
    ) + $C$14 -
        SUMIFS(
            $E$1:$E32,
            $B$1:$B32, "Paramos lėšos"
        ),
    IF(
        $C$12 =
            Konstantos!$A$86,
        $F27,
        "-"
    )
)</f>
        <v>-</v>
      </c>
      <c r="K32" s="89"/>
    </row>
    <row r="33" spans="1:11" ht="14.4" thickBot="1" x14ac:dyDescent="0.35">
      <c r="A33" s="252"/>
      <c r="B33" s="250" t="s">
        <v>71</v>
      </c>
      <c r="C33" s="251"/>
      <c r="D33" s="251"/>
      <c r="E33" s="370">
        <f>SUM(E29:E32)</f>
        <v>0</v>
      </c>
      <c r="F33" s="251"/>
      <c r="H33" s="276"/>
      <c r="I33" s="86"/>
    </row>
    <row r="34" spans="1:11" ht="14.4" thickTop="1" x14ac:dyDescent="0.3">
      <c r="A34" s="254" t="s">
        <v>438</v>
      </c>
      <c r="B34" s="245" t="s">
        <v>43</v>
      </c>
      <c r="C34" s="326"/>
      <c r="D34" s="246"/>
      <c r="E34" s="246"/>
      <c r="F34" s="246"/>
      <c r="H34" s="276" t="str">
        <f>IF(AND(C34="",D40&lt;&gt;0),"Klaida! Įveskite etapo paramos išmokėjimo prašymo pateikimo datą","ok")</f>
        <v>ok</v>
      </c>
      <c r="I34" s="86"/>
    </row>
    <row r="35" spans="1:11" x14ac:dyDescent="0.3">
      <c r="A35" s="255" t="s">
        <v>439</v>
      </c>
      <c r="B35" s="488"/>
      <c r="C35" s="489"/>
      <c r="D35" s="327"/>
      <c r="E35" s="327"/>
      <c r="F35" s="327"/>
      <c r="H35" s="276"/>
      <c r="I35" s="86"/>
    </row>
    <row r="36" spans="1:11" x14ac:dyDescent="0.3">
      <c r="A36" s="255" t="s">
        <v>440</v>
      </c>
      <c r="B36" s="488"/>
      <c r="C36" s="489"/>
      <c r="D36" s="327"/>
      <c r="E36" s="327"/>
      <c r="F36" s="327"/>
      <c r="H36" s="276"/>
      <c r="I36" s="86"/>
    </row>
    <row r="37" spans="1:11" x14ac:dyDescent="0.3">
      <c r="A37" s="255" t="s">
        <v>441</v>
      </c>
      <c r="B37" s="488"/>
      <c r="C37" s="489"/>
      <c r="D37" s="327"/>
      <c r="E37" s="327"/>
      <c r="F37" s="327"/>
      <c r="H37" s="276"/>
      <c r="I37" s="86"/>
    </row>
    <row r="38" spans="1:11" x14ac:dyDescent="0.3">
      <c r="A38" s="255" t="s">
        <v>442</v>
      </c>
      <c r="B38" s="488"/>
      <c r="C38" s="489"/>
      <c r="D38" s="327"/>
      <c r="E38" s="327"/>
      <c r="F38" s="327"/>
      <c r="H38" s="276"/>
      <c r="I38" s="86"/>
    </row>
    <row r="39" spans="1:11" x14ac:dyDescent="0.3">
      <c r="A39" s="255" t="s">
        <v>443</v>
      </c>
      <c r="B39" s="488"/>
      <c r="C39" s="489"/>
      <c r="D39" s="327"/>
      <c r="E39" s="327"/>
      <c r="F39" s="327"/>
      <c r="H39" s="276"/>
      <c r="I39" s="86"/>
    </row>
    <row r="40" spans="1:11" x14ac:dyDescent="0.3">
      <c r="A40" s="256"/>
      <c r="B40" s="149" t="s">
        <v>555</v>
      </c>
      <c r="C40" s="368" t="str">
        <f>IF(C34="","-",C34)</f>
        <v>-</v>
      </c>
      <c r="D40" s="369">
        <f>SUM(D35:D39)</f>
        <v>0</v>
      </c>
      <c r="E40" s="369">
        <f>SUM(E35:E39)</f>
        <v>0</v>
      </c>
      <c r="F40" s="257"/>
      <c r="H40" s="276"/>
      <c r="I40" s="86"/>
    </row>
    <row r="41" spans="1:11" ht="24" x14ac:dyDescent="0.3">
      <c r="A41" s="256"/>
      <c r="B41" s="150" t="s">
        <v>956</v>
      </c>
      <c r="C41" s="368" t="str">
        <f>IF(C34="","-",EOMONTH(C34,Parametrai!$C$17))</f>
        <v>-</v>
      </c>
      <c r="D41" s="151"/>
      <c r="E41" s="151"/>
      <c r="F41" s="369">
        <f>IF($C$14+SUMIFS($F$17:$F33,$B$17:$B33,"Paramos išmokėjimas*")+SUM(F35:F39)&lt;$C$11,SUM(F35:F39),IF($C$14+SUMIFS($F$17:$F33,$B$17:$B33,"Paramos išmokėjimas*")&lt;=$C$11,$C$11-$C$14-SUMIFS($F$17:$F33,$B$17:$B33,"Paramos išmokėjimas*"),0))</f>
        <v>0</v>
      </c>
      <c r="H41" s="276"/>
      <c r="I41" s="87" t="b">
        <f>OR(SUM(F35:F39)&gt;0)</f>
        <v>0</v>
      </c>
      <c r="J41" s="87"/>
    </row>
    <row r="42" spans="1:11" x14ac:dyDescent="0.3">
      <c r="A42" s="256"/>
      <c r="B42" s="152" t="s">
        <v>413</v>
      </c>
      <c r="C42" s="151"/>
      <c r="D42" s="151"/>
      <c r="E42" s="151"/>
      <c r="F42" s="151"/>
      <c r="H42" s="276"/>
      <c r="I42" s="86"/>
    </row>
    <row r="43" spans="1:11" x14ac:dyDescent="0.3">
      <c r="A43" s="255" t="s">
        <v>444</v>
      </c>
      <c r="B43" s="154" t="s">
        <v>61</v>
      </c>
      <c r="C43" s="151"/>
      <c r="D43" s="151"/>
      <c r="E43" s="327"/>
      <c r="F43" s="151"/>
      <c r="H43" s="276"/>
      <c r="I43" s="86"/>
    </row>
    <row r="44" spans="1:11" x14ac:dyDescent="0.3">
      <c r="A44" s="255" t="s">
        <v>445</v>
      </c>
      <c r="B44" s="154" t="s">
        <v>62</v>
      </c>
      <c r="C44" s="151"/>
      <c r="D44" s="151"/>
      <c r="E44" s="327"/>
      <c r="F44" s="151"/>
      <c r="H44" s="276"/>
      <c r="I44" s="86"/>
    </row>
    <row r="45" spans="1:11" x14ac:dyDescent="0.3">
      <c r="A45" s="255" t="s">
        <v>446</v>
      </c>
      <c r="B45" s="154" t="s">
        <v>63</v>
      </c>
      <c r="C45" s="151"/>
      <c r="D45" s="151"/>
      <c r="E45" s="327"/>
      <c r="F45" s="151"/>
      <c r="H45" s="276"/>
      <c r="I45" s="86"/>
    </row>
    <row r="46" spans="1:11" x14ac:dyDescent="0.3">
      <c r="A46" s="255" t="s">
        <v>447</v>
      </c>
      <c r="B46" s="154" t="s">
        <v>64</v>
      </c>
      <c r="C46" s="151"/>
      <c r="D46" s="151"/>
      <c r="E46" s="327"/>
      <c r="F46" s="151"/>
      <c r="H46" s="276"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Klaida! Pasirinkite paramos išmokėjimo būdą!</v>
      </c>
      <c r="I46" s="87"/>
      <c r="J46" s="87" t="str">
        <f>IF(
    OR(
        $C$12 =
            Konstantos!$A$85,
        $C$12 = Konstantos!$A$87
    ),
    SUMIFS(
        $F$1:$F33,
        $B$1:$B33, "Paramos išmokėjimas*"
    ) + $C$14 -
        SUMIFS(
            $E$1:$E46,
            $B$1:$B46, "Paramos lėšos"
        ),
    IF(
        $C$12 =
            Konstantos!$A$86,
        $F41,
        "-"
    )
)</f>
        <v>-</v>
      </c>
      <c r="K46" s="89"/>
    </row>
    <row r="47" spans="1:11" ht="14.4" thickBot="1" x14ac:dyDescent="0.35">
      <c r="A47" s="252"/>
      <c r="B47" s="250" t="s">
        <v>71</v>
      </c>
      <c r="C47" s="251"/>
      <c r="D47" s="251"/>
      <c r="E47" s="370">
        <f>SUM(E43:E46)</f>
        <v>0</v>
      </c>
      <c r="F47" s="251"/>
      <c r="H47" s="276"/>
      <c r="I47" s="86"/>
    </row>
    <row r="48" spans="1:11" ht="14.4" thickTop="1" x14ac:dyDescent="0.3">
      <c r="A48" s="254" t="s">
        <v>448</v>
      </c>
      <c r="B48" s="246" t="s">
        <v>72</v>
      </c>
      <c r="C48" s="326"/>
      <c r="D48" s="246"/>
      <c r="E48" s="246"/>
      <c r="F48" s="246"/>
      <c r="H48" s="276" t="str">
        <f>IF(AND(C48="",D54&lt;&gt;0),"Klaida! Įveskite etapo paramos išmokėjimo prašymo pateikimo datą","ok")</f>
        <v>ok</v>
      </c>
      <c r="I48" s="86"/>
    </row>
    <row r="49" spans="1:11" x14ac:dyDescent="0.3">
      <c r="A49" s="255" t="s">
        <v>449</v>
      </c>
      <c r="B49" s="488"/>
      <c r="C49" s="489"/>
      <c r="D49" s="327"/>
      <c r="E49" s="327"/>
      <c r="F49" s="327"/>
      <c r="H49" s="276"/>
      <c r="I49" s="86"/>
    </row>
    <row r="50" spans="1:11" x14ac:dyDescent="0.3">
      <c r="A50" s="255" t="s">
        <v>450</v>
      </c>
      <c r="B50" s="488"/>
      <c r="C50" s="489"/>
      <c r="D50" s="327"/>
      <c r="E50" s="327"/>
      <c r="F50" s="327"/>
      <c r="H50" s="276"/>
      <c r="I50" s="86"/>
    </row>
    <row r="51" spans="1:11" x14ac:dyDescent="0.3">
      <c r="A51" s="255" t="s">
        <v>451</v>
      </c>
      <c r="B51" s="488"/>
      <c r="C51" s="489"/>
      <c r="D51" s="327"/>
      <c r="E51" s="327"/>
      <c r="F51" s="327"/>
      <c r="H51" s="276"/>
      <c r="I51" s="86"/>
    </row>
    <row r="52" spans="1:11" x14ac:dyDescent="0.3">
      <c r="A52" s="255" t="s">
        <v>452</v>
      </c>
      <c r="B52" s="488"/>
      <c r="C52" s="489"/>
      <c r="D52" s="327"/>
      <c r="E52" s="327"/>
      <c r="F52" s="327"/>
      <c r="H52" s="276"/>
      <c r="I52" s="86"/>
    </row>
    <row r="53" spans="1:11" x14ac:dyDescent="0.3">
      <c r="A53" s="255" t="s">
        <v>453</v>
      </c>
      <c r="B53" s="488"/>
      <c r="C53" s="489"/>
      <c r="D53" s="327"/>
      <c r="E53" s="327"/>
      <c r="F53" s="327"/>
      <c r="H53" s="276"/>
      <c r="I53" s="86"/>
    </row>
    <row r="54" spans="1:11" x14ac:dyDescent="0.3">
      <c r="A54" s="256"/>
      <c r="B54" s="149" t="s">
        <v>555</v>
      </c>
      <c r="C54" s="368" t="str">
        <f>IF(C48="","-",C48)</f>
        <v>-</v>
      </c>
      <c r="D54" s="369">
        <f>SUM(D49:D53)</f>
        <v>0</v>
      </c>
      <c r="E54" s="369">
        <f>SUM(E49:E53)</f>
        <v>0</v>
      </c>
      <c r="F54" s="257"/>
      <c r="H54" s="276"/>
      <c r="I54" s="86"/>
    </row>
    <row r="55" spans="1:11" ht="24" x14ac:dyDescent="0.3">
      <c r="A55" s="256"/>
      <c r="B55" s="150" t="s">
        <v>957</v>
      </c>
      <c r="C55" s="368" t="str">
        <f>IF(C48="","-",EOMONTH(C48,Parametrai!$C$17))</f>
        <v>-</v>
      </c>
      <c r="D55" s="151"/>
      <c r="E55" s="151"/>
      <c r="F55" s="369">
        <f>IF($C$14+SUMIFS($F$17:$F47,$B$17:$B47,"Paramos išmokėjimas*")+SUM(F49:F53)&lt;$C$11,SUM(F49:F53),IF($C$14+SUMIFS($F$17:$F47,$B$17:$B47,"Paramos išmokėjimas*")&lt;=$C$11,$C$11-$C$14-SUMIFS($F$17:$F47,$B$17:$B47,"Paramos išmokėjimas*"),0))</f>
        <v>0</v>
      </c>
      <c r="H55" s="276"/>
      <c r="I55" s="87" t="b">
        <f>OR(SUM(F49:F53)&gt;0)</f>
        <v>0</v>
      </c>
      <c r="J55" s="87"/>
    </row>
    <row r="56" spans="1:11" x14ac:dyDescent="0.3">
      <c r="A56" s="256"/>
      <c r="B56" s="152" t="s">
        <v>413</v>
      </c>
      <c r="C56" s="151"/>
      <c r="D56" s="151"/>
      <c r="E56" s="151"/>
      <c r="F56" s="151"/>
      <c r="H56" s="276"/>
      <c r="I56" s="86"/>
    </row>
    <row r="57" spans="1:11" x14ac:dyDescent="0.3">
      <c r="A57" s="255" t="s">
        <v>466</v>
      </c>
      <c r="B57" s="154" t="s">
        <v>61</v>
      </c>
      <c r="C57" s="151"/>
      <c r="D57" s="151"/>
      <c r="E57" s="327"/>
      <c r="F57" s="151"/>
      <c r="H57" s="276"/>
      <c r="I57" s="86"/>
    </row>
    <row r="58" spans="1:11" x14ac:dyDescent="0.3">
      <c r="A58" s="255" t="s">
        <v>467</v>
      </c>
      <c r="B58" s="154" t="s">
        <v>62</v>
      </c>
      <c r="C58" s="151"/>
      <c r="D58" s="151"/>
      <c r="E58" s="327"/>
      <c r="F58" s="151"/>
      <c r="H58" s="276"/>
      <c r="I58" s="86"/>
    </row>
    <row r="59" spans="1:11" x14ac:dyDescent="0.3">
      <c r="A59" s="255" t="s">
        <v>468</v>
      </c>
      <c r="B59" s="154" t="s">
        <v>63</v>
      </c>
      <c r="C59" s="151"/>
      <c r="D59" s="151"/>
      <c r="E59" s="327"/>
      <c r="F59" s="151"/>
      <c r="H59" s="276"/>
      <c r="I59" s="86"/>
    </row>
    <row r="60" spans="1:11" x14ac:dyDescent="0.3">
      <c r="A60" s="255" t="s">
        <v>469</v>
      </c>
      <c r="B60" s="154" t="s">
        <v>64</v>
      </c>
      <c r="C60" s="151"/>
      <c r="D60" s="151"/>
      <c r="E60" s="327"/>
      <c r="F60" s="151"/>
      <c r="H60" s="276"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Klaida! Pasirinkite paramos išmokėjimo būdą!</v>
      </c>
      <c r="I60" s="87"/>
      <c r="J60" s="87" t="str">
        <f>IF(
    OR(
        $C$12 =
            Konstantos!$A$85,
        $C$12 = Konstantos!$A$87
    ),
    SUMIFS(
        $F$1:$F47,
        $B$1:$B47, "Paramos išmokėjimas*"
    ) + $C$14 -
        SUMIFS(
            $E$1:$E60,
            $B$1:$B60, "Paramos lėšos"
        ),
    IF(
        $C$12 =
            Konstantos!$A$86,
        $F55,
        "-"
    )
)</f>
        <v>-</v>
      </c>
      <c r="K60" s="89"/>
    </row>
    <row r="61" spans="1:11" ht="14.4" thickBot="1" x14ac:dyDescent="0.35">
      <c r="A61" s="252"/>
      <c r="B61" s="250" t="s">
        <v>71</v>
      </c>
      <c r="C61" s="251"/>
      <c r="D61" s="251"/>
      <c r="E61" s="370">
        <f>SUM(E57:E60)</f>
        <v>0</v>
      </c>
      <c r="F61" s="251"/>
      <c r="H61" s="276"/>
      <c r="I61" s="86"/>
    </row>
    <row r="62" spans="1:11" ht="14.4" thickTop="1" x14ac:dyDescent="0.3">
      <c r="A62" s="254" t="s">
        <v>454</v>
      </c>
      <c r="B62" s="246" t="s">
        <v>73</v>
      </c>
      <c r="C62" s="326"/>
      <c r="D62" s="246"/>
      <c r="E62" s="246"/>
      <c r="F62" s="246"/>
      <c r="H62" s="276" t="str">
        <f>IF(AND(C62="",D68&lt;&gt;0),"Klaida! Įveskite etapo paramos išmokėjimo prašymo pateikimo datą","ok")</f>
        <v>ok</v>
      </c>
      <c r="I62" s="86"/>
    </row>
    <row r="63" spans="1:11" x14ac:dyDescent="0.3">
      <c r="A63" s="255" t="s">
        <v>455</v>
      </c>
      <c r="B63" s="488"/>
      <c r="C63" s="489"/>
      <c r="D63" s="327"/>
      <c r="E63" s="327"/>
      <c r="F63" s="327"/>
      <c r="H63" s="276"/>
      <c r="I63" s="86"/>
    </row>
    <row r="64" spans="1:11" x14ac:dyDescent="0.3">
      <c r="A64" s="255" t="s">
        <v>456</v>
      </c>
      <c r="B64" s="488"/>
      <c r="C64" s="489"/>
      <c r="D64" s="327"/>
      <c r="E64" s="327"/>
      <c r="F64" s="327"/>
      <c r="H64" s="276"/>
      <c r="I64" s="86"/>
    </row>
    <row r="65" spans="1:11" x14ac:dyDescent="0.3">
      <c r="A65" s="255" t="s">
        <v>457</v>
      </c>
      <c r="B65" s="488"/>
      <c r="C65" s="489"/>
      <c r="D65" s="327"/>
      <c r="E65" s="327"/>
      <c r="F65" s="327"/>
      <c r="H65" s="276"/>
      <c r="I65" s="86"/>
    </row>
    <row r="66" spans="1:11" x14ac:dyDescent="0.3">
      <c r="A66" s="255" t="s">
        <v>458</v>
      </c>
      <c r="B66" s="488"/>
      <c r="C66" s="489"/>
      <c r="D66" s="327"/>
      <c r="E66" s="327"/>
      <c r="F66" s="327"/>
      <c r="H66" s="276"/>
      <c r="I66" s="86"/>
    </row>
    <row r="67" spans="1:11" x14ac:dyDescent="0.3">
      <c r="A67" s="255" t="s">
        <v>459</v>
      </c>
      <c r="B67" s="488"/>
      <c r="C67" s="489"/>
      <c r="D67" s="327"/>
      <c r="E67" s="327"/>
      <c r="F67" s="327"/>
      <c r="H67" s="276"/>
      <c r="I67" s="86"/>
    </row>
    <row r="68" spans="1:11" x14ac:dyDescent="0.3">
      <c r="A68" s="256"/>
      <c r="B68" s="149" t="s">
        <v>555</v>
      </c>
      <c r="C68" s="368" t="str">
        <f>IF(C62="","-",C62)</f>
        <v>-</v>
      </c>
      <c r="D68" s="369">
        <f>SUM(D63:D67)</f>
        <v>0</v>
      </c>
      <c r="E68" s="369">
        <f>SUM(E63:E67)</f>
        <v>0</v>
      </c>
      <c r="F68" s="257"/>
      <c r="H68" s="276"/>
      <c r="I68" s="86"/>
    </row>
    <row r="69" spans="1:11" ht="24" x14ac:dyDescent="0.3">
      <c r="A69" s="256"/>
      <c r="B69" s="150" t="s">
        <v>958</v>
      </c>
      <c r="C69" s="368" t="str">
        <f>IF(C62="","-",EOMONTH(C62,Parametrai!$C$17))</f>
        <v>-</v>
      </c>
      <c r="D69" s="151"/>
      <c r="E69" s="151"/>
      <c r="F69" s="369">
        <f>IF($C$14+SUMIFS($F$17:$F61,$B$17:$B61,"Paramos išmokėjimas*")+SUM(F63:F67)&lt;$C$11,SUM(F63:F67),IF($C$14+SUMIFS($F$17:$F61,$B$17:$B61,"Paramos išmokėjimas*")&lt;=$C$11,$C$11-$C$14-SUMIFS($F$17:$F61,$B$17:$B61,"Paramos išmokėjimas*"),0))</f>
        <v>0</v>
      </c>
      <c r="H69" s="276"/>
      <c r="I69" s="87" t="b">
        <f>OR(SUM(F63:F67)&gt;0)</f>
        <v>0</v>
      </c>
    </row>
    <row r="70" spans="1:11" x14ac:dyDescent="0.3">
      <c r="A70" s="256"/>
      <c r="B70" s="152" t="s">
        <v>413</v>
      </c>
      <c r="C70" s="151"/>
      <c r="D70" s="151"/>
      <c r="E70" s="151"/>
      <c r="F70" s="151"/>
      <c r="H70" s="276"/>
      <c r="I70" s="86"/>
    </row>
    <row r="71" spans="1:11" x14ac:dyDescent="0.3">
      <c r="A71" s="255" t="s">
        <v>470</v>
      </c>
      <c r="B71" s="154" t="s">
        <v>61</v>
      </c>
      <c r="C71" s="151"/>
      <c r="D71" s="151"/>
      <c r="E71" s="327"/>
      <c r="F71" s="151"/>
      <c r="H71" s="276"/>
      <c r="I71" s="86"/>
    </row>
    <row r="72" spans="1:11" x14ac:dyDescent="0.3">
      <c r="A72" s="255" t="s">
        <v>471</v>
      </c>
      <c r="B72" s="154" t="s">
        <v>62</v>
      </c>
      <c r="C72" s="151"/>
      <c r="D72" s="151"/>
      <c r="E72" s="327"/>
      <c r="F72" s="151"/>
      <c r="H72" s="276"/>
      <c r="I72" s="86"/>
    </row>
    <row r="73" spans="1:11" x14ac:dyDescent="0.3">
      <c r="A73" s="255" t="s">
        <v>472</v>
      </c>
      <c r="B73" s="154" t="s">
        <v>63</v>
      </c>
      <c r="C73" s="151"/>
      <c r="D73" s="151"/>
      <c r="E73" s="327"/>
      <c r="F73" s="151"/>
      <c r="H73" s="276"/>
      <c r="I73" s="86"/>
    </row>
    <row r="74" spans="1:11" x14ac:dyDescent="0.3">
      <c r="A74" s="255" t="s">
        <v>473</v>
      </c>
      <c r="B74" s="154" t="s">
        <v>64</v>
      </c>
      <c r="C74" s="151"/>
      <c r="D74" s="151"/>
      <c r="E74" s="327"/>
      <c r="F74" s="151"/>
      <c r="H74" s="276"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Klaida! Pasirinkite paramos išmokėjimo būdą!</v>
      </c>
      <c r="I74" s="87"/>
      <c r="J74" s="87" t="str">
        <f>IF(
    OR(
        $C$12 =
            Konstantos!$A$85,
        $C$12 = Konstantos!$A$87
    ),
    SUMIFS(
        $F$1:$F61,
        $B$1:$B61, "Paramos išmokėjimas*"
    ) + $C$14 -
        SUMIFS(
            $E$1:$E74,
            $B$1:$B74, "Paramos lėšos"
        ),
    IF(
        $C$12 =
            Konstantos!$A$86,
        $F69,
        "-"
    )
)</f>
        <v>-</v>
      </c>
      <c r="K74" s="89"/>
    </row>
    <row r="75" spans="1:11" ht="14.4" thickBot="1" x14ac:dyDescent="0.35">
      <c r="A75" s="252"/>
      <c r="B75" s="250" t="s">
        <v>71</v>
      </c>
      <c r="C75" s="251"/>
      <c r="D75" s="251"/>
      <c r="E75" s="370">
        <f>SUM(E71:E74)</f>
        <v>0</v>
      </c>
      <c r="F75" s="251"/>
      <c r="H75" s="276"/>
      <c r="I75" s="86"/>
    </row>
    <row r="76" spans="1:11" ht="14.4" thickTop="1" x14ac:dyDescent="0.3">
      <c r="A76" s="254" t="s">
        <v>460</v>
      </c>
      <c r="B76" s="246" t="s">
        <v>74</v>
      </c>
      <c r="C76" s="326"/>
      <c r="D76" s="246"/>
      <c r="E76" s="246"/>
      <c r="F76" s="246"/>
      <c r="H76" s="276" t="str">
        <f>IF(AND(C76="",D82&lt;&gt;0),"Klaida! Įveskite etapo paramos išmokėjimo prašymo pateikimo datą","ok")</f>
        <v>ok</v>
      </c>
      <c r="I76" s="86"/>
    </row>
    <row r="77" spans="1:11" x14ac:dyDescent="0.3">
      <c r="A77" s="255" t="s">
        <v>461</v>
      </c>
      <c r="B77" s="488"/>
      <c r="C77" s="489"/>
      <c r="D77" s="327"/>
      <c r="E77" s="327"/>
      <c r="F77" s="327"/>
      <c r="H77" s="276"/>
      <c r="I77" s="86"/>
    </row>
    <row r="78" spans="1:11" x14ac:dyDescent="0.3">
      <c r="A78" s="255" t="s">
        <v>462</v>
      </c>
      <c r="B78" s="488"/>
      <c r="C78" s="489"/>
      <c r="D78" s="327"/>
      <c r="E78" s="327"/>
      <c r="F78" s="327"/>
      <c r="H78" s="276"/>
      <c r="I78" s="86"/>
    </row>
    <row r="79" spans="1:11" x14ac:dyDescent="0.3">
      <c r="A79" s="255" t="s">
        <v>463</v>
      </c>
      <c r="B79" s="488"/>
      <c r="C79" s="489"/>
      <c r="D79" s="327"/>
      <c r="E79" s="327"/>
      <c r="F79" s="327"/>
      <c r="H79" s="276"/>
      <c r="I79" s="86"/>
    </row>
    <row r="80" spans="1:11" x14ac:dyDescent="0.3">
      <c r="A80" s="255" t="s">
        <v>464</v>
      </c>
      <c r="B80" s="488"/>
      <c r="C80" s="489"/>
      <c r="D80" s="327"/>
      <c r="E80" s="327"/>
      <c r="F80" s="327"/>
      <c r="H80" s="276"/>
      <c r="I80" s="86"/>
    </row>
    <row r="81" spans="1:11" x14ac:dyDescent="0.3">
      <c r="A81" s="255" t="s">
        <v>465</v>
      </c>
      <c r="B81" s="488"/>
      <c r="C81" s="489"/>
      <c r="D81" s="327"/>
      <c r="E81" s="327"/>
      <c r="F81" s="327"/>
      <c r="H81" s="276"/>
      <c r="I81" s="86"/>
    </row>
    <row r="82" spans="1:11" x14ac:dyDescent="0.3">
      <c r="A82" s="256"/>
      <c r="B82" s="149" t="s">
        <v>555</v>
      </c>
      <c r="C82" s="368" t="str">
        <f>IF(C76="","-",C76)</f>
        <v>-</v>
      </c>
      <c r="D82" s="369">
        <f>SUM(D77:D81)</f>
        <v>0</v>
      </c>
      <c r="E82" s="369">
        <f>SUM(E77:E81)</f>
        <v>0</v>
      </c>
      <c r="F82" s="257"/>
      <c r="H82" s="276"/>
      <c r="I82" s="86"/>
    </row>
    <row r="83" spans="1:11" ht="24" x14ac:dyDescent="0.3">
      <c r="A83" s="256"/>
      <c r="B83" s="150" t="s">
        <v>958</v>
      </c>
      <c r="C83" s="368" t="str">
        <f>IF(C76="","-",EOMONTH(C76,Parametrai!$C$17))</f>
        <v>-</v>
      </c>
      <c r="D83" s="151"/>
      <c r="E83" s="151"/>
      <c r="F83" s="369">
        <f>IF($C$14+SUMIFS($F$17:$F75,$B$17:$B75,"Paramos išmokėjimas*")+SUM(F77:F81)&lt;$C$11,SUM(F77:F81),IF($C$14+SUMIFS($F$17:$F75,$B$17:$B75,"Paramos išmokėjimas*")&lt;=$C$11,$C$11-$C$14-SUMIFS($F$17:$F75,$B$17:$B75,"Paramos išmokėjimas*"),0))</f>
        <v>0</v>
      </c>
      <c r="H83" s="276"/>
      <c r="I83" s="87" t="b">
        <f>OR(SUM(F77:F81)&gt;0)</f>
        <v>0</v>
      </c>
    </row>
    <row r="84" spans="1:11" x14ac:dyDescent="0.3">
      <c r="A84" s="256"/>
      <c r="B84" s="152" t="s">
        <v>413</v>
      </c>
      <c r="C84" s="151"/>
      <c r="D84" s="151"/>
      <c r="E84" s="151"/>
      <c r="F84" s="151"/>
      <c r="H84" s="276"/>
      <c r="I84" s="86"/>
    </row>
    <row r="85" spans="1:11" x14ac:dyDescent="0.3">
      <c r="A85" s="255" t="s">
        <v>474</v>
      </c>
      <c r="B85" s="154" t="s">
        <v>61</v>
      </c>
      <c r="C85" s="151"/>
      <c r="D85" s="151"/>
      <c r="E85" s="327"/>
      <c r="F85" s="151"/>
      <c r="H85" s="276"/>
      <c r="I85" s="86"/>
    </row>
    <row r="86" spans="1:11" x14ac:dyDescent="0.3">
      <c r="A86" s="255" t="s">
        <v>475</v>
      </c>
      <c r="B86" s="154" t="s">
        <v>62</v>
      </c>
      <c r="C86" s="151"/>
      <c r="D86" s="151"/>
      <c r="E86" s="327"/>
      <c r="F86" s="151"/>
      <c r="H86" s="276"/>
      <c r="I86" s="86"/>
    </row>
    <row r="87" spans="1:11" x14ac:dyDescent="0.3">
      <c r="A87" s="255" t="s">
        <v>476</v>
      </c>
      <c r="B87" s="154" t="s">
        <v>63</v>
      </c>
      <c r="C87" s="151"/>
      <c r="D87" s="151"/>
      <c r="E87" s="327"/>
      <c r="F87" s="151"/>
      <c r="H87" s="276"/>
      <c r="I87" s="86"/>
    </row>
    <row r="88" spans="1:11" x14ac:dyDescent="0.3">
      <c r="A88" s="255" t="s">
        <v>477</v>
      </c>
      <c r="B88" s="154" t="s">
        <v>64</v>
      </c>
      <c r="C88" s="151"/>
      <c r="D88" s="151"/>
      <c r="E88" s="327"/>
      <c r="F88" s="151"/>
      <c r="H88" s="276"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Klaida! Pasirinkite paramos išmokėjimo būdą!</v>
      </c>
      <c r="I88" s="87"/>
      <c r="J88" s="87" t="str">
        <f>IF(
    OR(
        $C$12 =
            Konstantos!$A$85,
        $C$12 = Konstantos!$A$87
    ),
    SUMIFS(
        $F$1:$F75,
        $B$1:$B75, "Paramos išmokėjimas*"
    ) + $C$14 -
        SUMIFS(
            $E$1:$E88,
            $B$1:$B88, "Paramos lėšos"
        ),
    IF(
        $C$12 =
            Konstantos!$A$86,
        $F83,
        "-"
    )
)</f>
        <v>-</v>
      </c>
      <c r="K88" s="89"/>
    </row>
    <row r="89" spans="1:11" ht="14.4" thickBot="1" x14ac:dyDescent="0.35">
      <c r="A89" s="252"/>
      <c r="B89" s="250" t="s">
        <v>71</v>
      </c>
      <c r="C89" s="251"/>
      <c r="D89" s="251"/>
      <c r="E89" s="370">
        <f>SUM(E85:E88)</f>
        <v>0</v>
      </c>
      <c r="F89" s="251"/>
      <c r="H89" s="276"/>
      <c r="I89" s="86"/>
    </row>
    <row r="90" spans="1:11" ht="14.4" thickTop="1" x14ac:dyDescent="0.3"/>
  </sheetData>
  <sheetProtection algorithmName="SHA-512" hashValue="u1PbXeXDLj88RJkvQkk9RM6Ovnik66c7LlZO45ScnasmBG+dFvd2V6Hzubs6WxjJlurhKLpaV/ddj0Hnq/DFCQ==" saltValue="F2LpV/ZAqjFOMP/g4fIZAg==" spinCount="100000" sheet="1" objects="1" scenarios="1" formatRows="0"/>
  <mergeCells count="27">
    <mergeCell ref="B77:C77"/>
    <mergeCell ref="B78:C78"/>
    <mergeCell ref="B79:C79"/>
    <mergeCell ref="B80:C80"/>
    <mergeCell ref="B81:C81"/>
    <mergeCell ref="B63:C63"/>
    <mergeCell ref="B64:C64"/>
    <mergeCell ref="B65:C65"/>
    <mergeCell ref="B66:C66"/>
    <mergeCell ref="B67:C67"/>
    <mergeCell ref="B49:C49"/>
    <mergeCell ref="B50:C50"/>
    <mergeCell ref="B51:C51"/>
    <mergeCell ref="B52:C52"/>
    <mergeCell ref="B53:C53"/>
    <mergeCell ref="B24:C24"/>
    <mergeCell ref="B25:C25"/>
    <mergeCell ref="B1:D1"/>
    <mergeCell ref="B17:F17"/>
    <mergeCell ref="B21:C21"/>
    <mergeCell ref="B22:C22"/>
    <mergeCell ref="B23:C23"/>
    <mergeCell ref="B35:C35"/>
    <mergeCell ref="B36:C36"/>
    <mergeCell ref="B37:C37"/>
    <mergeCell ref="B38:C38"/>
    <mergeCell ref="B39:C39"/>
  </mergeCells>
  <phoneticPr fontId="12" type="noConversion"/>
  <conditionalFormatting sqref="C8">
    <cfRule type="expression" dxfId="97" priority="28">
      <formula>$C$8&gt;$C$11</formula>
    </cfRule>
  </conditionalFormatting>
  <conditionalFormatting sqref="C9:C10">
    <cfRule type="expression" dxfId="96" priority="104">
      <formula>$C$10&lt;&gt;$C$9</formula>
    </cfRule>
  </conditionalFormatting>
  <conditionalFormatting sqref="C20">
    <cfRule type="expression" dxfId="95" priority="6">
      <formula>AND(C20="",D26&lt;&gt;0)</formula>
    </cfRule>
  </conditionalFormatting>
  <conditionalFormatting sqref="C34">
    <cfRule type="expression" dxfId="94" priority="8">
      <formula>AND(C34="",D40&lt;&gt;0)</formula>
    </cfRule>
  </conditionalFormatting>
  <conditionalFormatting sqref="C48">
    <cfRule type="expression" dxfId="93" priority="10">
      <formula>AND(C48="",D54&lt;&gt;0)</formula>
    </cfRule>
  </conditionalFormatting>
  <conditionalFormatting sqref="C62">
    <cfRule type="expression" dxfId="92" priority="12">
      <formula>AND(C62="",D68&lt;&gt;0)</formula>
    </cfRule>
  </conditionalFormatting>
  <conditionalFormatting sqref="C76">
    <cfRule type="expression" dxfId="91" priority="15">
      <formula>AND(C76="",D82&lt;&gt;0)</formula>
    </cfRule>
  </conditionalFormatting>
  <conditionalFormatting sqref="D11">
    <cfRule type="expression" dxfId="90" priority="67">
      <formula>$C$11&lt;&gt;$D$11</formula>
    </cfRule>
  </conditionalFormatting>
  <conditionalFormatting sqref="E33">
    <cfRule type="expression" dxfId="89" priority="29">
      <formula>E33&lt;&gt;E26</formula>
    </cfRule>
  </conditionalFormatting>
  <conditionalFormatting sqref="E47">
    <cfRule type="expression" dxfId="88" priority="30">
      <formula>E47&lt;&gt;E40</formula>
    </cfRule>
  </conditionalFormatting>
  <conditionalFormatting sqref="E61">
    <cfRule type="expression" dxfId="87" priority="31">
      <formula>E61&lt;&gt;E54</formula>
    </cfRule>
  </conditionalFormatting>
  <conditionalFormatting sqref="E75">
    <cfRule type="expression" dxfId="86" priority="106">
      <formula>E75&lt;&gt;E68</formula>
    </cfRule>
  </conditionalFormatting>
  <conditionalFormatting sqref="E89">
    <cfRule type="expression" dxfId="85" priority="32">
      <formula>E89&lt;&gt;E82</formula>
    </cfRule>
  </conditionalFormatting>
  <conditionalFormatting sqref="F19">
    <cfRule type="expression" dxfId="84" priority="27">
      <formula>$F$19&gt;$C$11</formula>
    </cfRule>
  </conditionalFormatting>
  <conditionalFormatting sqref="H12:H13">
    <cfRule type="expression" dxfId="83" priority="101">
      <formula>H12&lt;&gt;"ok"</formula>
    </cfRule>
  </conditionalFormatting>
  <conditionalFormatting sqref="H15">
    <cfRule type="expression" dxfId="82" priority="102">
      <formula>H15&lt;&gt;"ok"</formula>
    </cfRule>
  </conditionalFormatting>
  <conditionalFormatting sqref="H20">
    <cfRule type="expression" dxfId="81" priority="5">
      <formula>ISNUMBER(SEARCH("Klaida", H20))</formula>
    </cfRule>
  </conditionalFormatting>
  <conditionalFormatting sqref="H32">
    <cfRule type="expression" dxfId="80" priority="62">
      <formula>ISNUMBER(SEARCH("Klaida", H32))</formula>
    </cfRule>
  </conditionalFormatting>
  <conditionalFormatting sqref="H34">
    <cfRule type="expression" dxfId="79" priority="7">
      <formula>ISNUMBER(SEARCH("Klaida", H34))</formula>
    </cfRule>
  </conditionalFormatting>
  <conditionalFormatting sqref="H46">
    <cfRule type="expression" dxfId="78" priority="4">
      <formula>ISNUMBER(SEARCH("Klaida", H46))</formula>
    </cfRule>
  </conditionalFormatting>
  <conditionalFormatting sqref="H48">
    <cfRule type="expression" dxfId="77" priority="9">
      <formula>ISNUMBER(SEARCH("Klaida", H48))</formula>
    </cfRule>
  </conditionalFormatting>
  <conditionalFormatting sqref="H60">
    <cfRule type="expression" dxfId="76" priority="3">
      <formula>ISNUMBER(SEARCH("Klaida", H60))</formula>
    </cfRule>
  </conditionalFormatting>
  <conditionalFormatting sqref="H62">
    <cfRule type="expression" dxfId="75" priority="11">
      <formula>ISNUMBER(SEARCH("Klaida", H62))</formula>
    </cfRule>
  </conditionalFormatting>
  <conditionalFormatting sqref="H74">
    <cfRule type="expression" dxfId="74" priority="2">
      <formula>ISNUMBER(SEARCH("Klaida", H74))</formula>
    </cfRule>
  </conditionalFormatting>
  <conditionalFormatting sqref="H76">
    <cfRule type="expression" dxfId="73" priority="13">
      <formula>ISNUMBER(SEARCH("Klaida", H76))</formula>
    </cfRule>
  </conditionalFormatting>
  <conditionalFormatting sqref="H88">
    <cfRule type="expression" dxfId="72" priority="1">
      <formula>ISNUMBER(SEARCH("Klaida", H88))</formula>
    </cfRule>
  </conditionalFormatting>
  <dataValidations count="1">
    <dataValidation type="list" allowBlank="1" showInputMessage="1" showErrorMessage="1" error="Pasirinkite paramos išmokėjimo būdą iš sąrašo" sqref="C1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9">
    <tabColor theme="9" tint="-0.249977111117893"/>
  </sheetPr>
  <dimension ref="A1:N70"/>
  <sheetViews>
    <sheetView topLeftCell="B1" zoomScale="130" zoomScaleNormal="130" workbookViewId="0">
      <pane xSplit="2" ySplit="4" topLeftCell="D5" activePane="bottomRight" state="frozen"/>
      <selection activeCell="B1" sqref="B1"/>
      <selection pane="topRight" activeCell="D1" sqref="D1"/>
      <selection pane="bottomLeft" activeCell="B5" sqref="B5"/>
      <selection pane="bottomRight" activeCell="H9" sqref="H9"/>
    </sheetView>
  </sheetViews>
  <sheetFormatPr defaultColWidth="8.6640625" defaultRowHeight="13.8" x14ac:dyDescent="0.3"/>
  <cols>
    <col min="1" max="1" width="2.6640625" style="11" hidden="1" customWidth="1"/>
    <col min="2" max="2" width="6.33203125" style="11" customWidth="1"/>
    <col min="3" max="3" width="33.6640625" style="11" customWidth="1"/>
    <col min="4" max="8" width="10" style="11" customWidth="1"/>
    <col min="9" max="9" width="5.33203125" style="10" customWidth="1"/>
    <col min="10" max="10" width="52.6640625" style="11" customWidth="1"/>
    <col min="11" max="16384" width="8.6640625" style="11"/>
  </cols>
  <sheetData>
    <row r="1" spans="1:14" s="7" customFormat="1" ht="12" customHeight="1" x14ac:dyDescent="0.3">
      <c r="B1" s="155" t="s">
        <v>21</v>
      </c>
      <c r="C1" s="492" t="s">
        <v>671</v>
      </c>
      <c r="D1" s="492"/>
      <c r="E1" s="492"/>
      <c r="F1" s="492"/>
      <c r="G1" s="492"/>
      <c r="H1" s="492"/>
      <c r="I1" s="6"/>
      <c r="J1" s="290" t="s">
        <v>293</v>
      </c>
    </row>
    <row r="2" spans="1:14" ht="10.65" customHeight="1" x14ac:dyDescent="0.3">
      <c r="B2" s="20"/>
      <c r="C2" s="38" t="s">
        <v>533</v>
      </c>
      <c r="D2" s="216">
        <f>D62-SUMIFS('5'!$D:$D,'5'!$C:$C,"&gt;="&amp;DATE('6'!D$4,1,1),'5'!$C:$C,"&lt;="&amp;DATE('6'!D$4,12,31))</f>
        <v>0</v>
      </c>
      <c r="E2" s="216">
        <f>E62-SUMIFS('5'!$D:$D,'5'!$C:$C,"&gt;="&amp;DATE('6'!E$4,1,1),'5'!$C:$C,"&lt;="&amp;DATE('6'!E$4,12,31))</f>
        <v>0</v>
      </c>
      <c r="F2" s="216">
        <f>F62-SUMIFS('5'!$D:$D,'5'!$C:$C,"&gt;="&amp;DATE('6'!F$4,1,1),'5'!$C:$C,"&lt;="&amp;DATE('6'!F$4,12,31))</f>
        <v>0</v>
      </c>
      <c r="G2" s="216">
        <f>G62-SUMIFS('5'!$D:$D,'5'!$C:$C,"&gt;="&amp;DATE('6'!G$4,1,1),'5'!$C:$C,"&lt;="&amp;DATE('6'!G$4,12,31))</f>
        <v>0</v>
      </c>
      <c r="H2" s="216">
        <f>H62-SUMIFS('5'!$D:$D,'5'!$C:$C,"&gt;="&amp;DATE('6'!H$4,1,1),'5'!$C:$C,"&lt;="&amp;DATE('6'!H$4,12,31))</f>
        <v>0</v>
      </c>
      <c r="J2" s="276" t="str">
        <f>IF(COUNTIFS($D$2:$H$2,"&lt;0")&gt;0,"Klaida! Tikrinkite, investicijų suma įvesta 5 skyriuje yra didesnė už įsigijimus šiame skyriuje","ok")</f>
        <v>ok</v>
      </c>
    </row>
    <row r="3" spans="1:14" s="26" customFormat="1" ht="21.45" customHeight="1" x14ac:dyDescent="0.3">
      <c r="A3" s="235"/>
      <c r="B3" s="459" t="s">
        <v>22</v>
      </c>
      <c r="C3" s="474" t="s">
        <v>44</v>
      </c>
      <c r="D3" s="135" t="str">
        <f>IF(AND('1'!$C$22="Verslo pradžia",YEAR('1'!$E$22)=YEAR('1'!$C$11)),"Pradžios metai","Ataskaitiniai metai")</f>
        <v>Ataskaitiniai metai</v>
      </c>
      <c r="E3" s="463" t="s">
        <v>12</v>
      </c>
      <c r="F3" s="464"/>
      <c r="G3" s="464"/>
      <c r="H3" s="464"/>
      <c r="I3" s="25"/>
      <c r="J3" s="276" t="str">
        <f>IF(COUNTIFS($D$2:$H$2,"&gt;0")&gt;0,"Dėmesio! Įsitikinkite, ar tikrai investicijų suma įvesta 5 skyriuje turi būti mažesnė už įsigijimų vertę šiame skyriuje","ok")</f>
        <v>ok</v>
      </c>
    </row>
    <row r="4" spans="1:14" s="26" customFormat="1" ht="12.75" customHeight="1" thickBot="1" x14ac:dyDescent="0.35">
      <c r="A4" s="236"/>
      <c r="B4" s="460"/>
      <c r="C4" s="475"/>
      <c r="D4" s="358">
        <f>IF(D3="Pradžios metai",YEAR('1'!$E$22),IF((YEAR('1'!$C$11)-1)+COUNT($C4:C4)&gt;YEAR('1'!$C$18)+Parametrai!$C$15,"-",(YEAR('1'!$C$11)-1)+COUNT($C4:C4)))</f>
        <v>1899</v>
      </c>
      <c r="E4" s="358">
        <f>IF(E3="Pradžios metai",YEAR('1'!$E$22),IF((YEAR('1'!$C$11)-1)+COUNT($C4:D4)&gt;YEAR('1'!$C$18)+Parametrai!$C$15,"-",(YEAR('1'!$C$11)-1)+COUNT($C4:D4)))</f>
        <v>1900</v>
      </c>
      <c r="F4" s="358">
        <f>IF(F3="Pradžios metai",YEAR('1'!$E$22),IF((YEAR('1'!$C$11)-1)+COUNT($C4:E4)&gt;YEAR('1'!$C$18)+Parametrai!$C$15,"-",(YEAR('1'!$C$11)-1)+COUNT($C4:E4)))</f>
        <v>1901</v>
      </c>
      <c r="G4" s="358">
        <f>IF(G3="Pradžios metai",YEAR('1'!$E$22),IF((YEAR('1'!$C$11)-1)+COUNT($C4:F4)&gt;YEAR('1'!$C$18)+Parametrai!$C$15,"-",(YEAR('1'!$C$11)-1)+COUNT($C4:F4)))</f>
        <v>1902</v>
      </c>
      <c r="H4" s="358">
        <f>IF(H3="Pradžios metai",YEAR('1'!$E$22),IF((YEAR('1'!$C$11)-1)+COUNT($C4:G4)&gt;YEAR('1'!$C$18)+Parametrai!$C$15,"-",(YEAR('1'!$C$11)-1)+COUNT($C4:G4)))</f>
        <v>1903</v>
      </c>
      <c r="I4" s="25"/>
      <c r="J4" s="291"/>
    </row>
    <row r="5" spans="1:14" ht="14.4" thickTop="1" x14ac:dyDescent="0.3">
      <c r="B5" s="156" t="s">
        <v>580</v>
      </c>
      <c r="C5" s="399" t="s">
        <v>98</v>
      </c>
      <c r="D5" s="212"/>
      <c r="E5" s="212"/>
      <c r="F5" s="212"/>
      <c r="G5" s="212"/>
      <c r="H5" s="212"/>
      <c r="I5" s="16"/>
      <c r="J5" s="291" t="s">
        <v>406</v>
      </c>
    </row>
    <row r="6" spans="1:14" x14ac:dyDescent="0.3">
      <c r="B6" s="27" t="s">
        <v>581</v>
      </c>
      <c r="C6" s="400" t="s">
        <v>45</v>
      </c>
      <c r="D6" s="328"/>
      <c r="E6" s="371">
        <f>D9</f>
        <v>0</v>
      </c>
      <c r="F6" s="371">
        <f t="shared" ref="F6:H6" si="0">E9</f>
        <v>0</v>
      </c>
      <c r="G6" s="371">
        <f t="shared" si="0"/>
        <v>0</v>
      </c>
      <c r="H6" s="371">
        <f t="shared" si="0"/>
        <v>0</v>
      </c>
      <c r="J6" s="291"/>
      <c r="N6" s="15"/>
    </row>
    <row r="7" spans="1:14" x14ac:dyDescent="0.3">
      <c r="B7" s="27" t="s">
        <v>582</v>
      </c>
      <c r="C7" s="400" t="s">
        <v>46</v>
      </c>
      <c r="D7" s="328"/>
      <c r="E7" s="328"/>
      <c r="F7" s="328"/>
      <c r="G7" s="328"/>
      <c r="H7" s="328"/>
      <c r="J7" s="291"/>
    </row>
    <row r="8" spans="1:14" x14ac:dyDescent="0.3">
      <c r="B8" s="27" t="s">
        <v>583</v>
      </c>
      <c r="C8" s="400" t="s">
        <v>47</v>
      </c>
      <c r="D8" s="328"/>
      <c r="E8" s="328"/>
      <c r="F8" s="328"/>
      <c r="G8" s="328"/>
      <c r="H8" s="328"/>
      <c r="J8" s="291"/>
    </row>
    <row r="9" spans="1:14" x14ac:dyDescent="0.3">
      <c r="B9" s="27" t="s">
        <v>584</v>
      </c>
      <c r="C9" s="401" t="s">
        <v>55</v>
      </c>
      <c r="D9" s="372">
        <f>SUM(D6,D7)-D8</f>
        <v>0</v>
      </c>
      <c r="E9" s="372">
        <f>SUM(E6,E7)-E8</f>
        <v>0</v>
      </c>
      <c r="F9" s="372">
        <f t="shared" ref="F9:H9" si="1">SUM(F6,F7)-F8</f>
        <v>0</v>
      </c>
      <c r="G9" s="372">
        <f t="shared" si="1"/>
        <v>0</v>
      </c>
      <c r="H9" s="372">
        <f t="shared" si="1"/>
        <v>0</v>
      </c>
      <c r="J9" s="291"/>
    </row>
    <row r="10" spans="1:14" x14ac:dyDescent="0.3">
      <c r="B10" s="157" t="s">
        <v>579</v>
      </c>
      <c r="C10" s="402" t="s">
        <v>39</v>
      </c>
      <c r="D10" s="201"/>
      <c r="E10" s="201"/>
      <c r="F10" s="201"/>
      <c r="G10" s="201"/>
      <c r="H10" s="201"/>
      <c r="J10" s="276" t="s">
        <v>407</v>
      </c>
    </row>
    <row r="11" spans="1:14" x14ac:dyDescent="0.3">
      <c r="B11" s="27" t="s">
        <v>585</v>
      </c>
      <c r="C11" s="403" t="s">
        <v>48</v>
      </c>
      <c r="D11" s="328"/>
      <c r="E11" s="371">
        <f>D14</f>
        <v>0</v>
      </c>
      <c r="F11" s="371">
        <f t="shared" ref="F11:H11" si="2">E14</f>
        <v>0</v>
      </c>
      <c r="G11" s="371">
        <f t="shared" si="2"/>
        <v>0</v>
      </c>
      <c r="H11" s="371">
        <f t="shared" si="2"/>
        <v>0</v>
      </c>
      <c r="J11" s="291"/>
    </row>
    <row r="12" spans="1:14" x14ac:dyDescent="0.3">
      <c r="B12" s="27" t="s">
        <v>586</v>
      </c>
      <c r="C12" s="404" t="s">
        <v>46</v>
      </c>
      <c r="D12" s="328"/>
      <c r="E12" s="328"/>
      <c r="F12" s="328"/>
      <c r="G12" s="328"/>
      <c r="H12" s="328"/>
      <c r="J12" s="291"/>
      <c r="M12" s="15"/>
    </row>
    <row r="13" spans="1:14" x14ac:dyDescent="0.3">
      <c r="B13" s="27" t="s">
        <v>587</v>
      </c>
      <c r="C13" s="404" t="s">
        <v>49</v>
      </c>
      <c r="D13" s="328"/>
      <c r="E13" s="328"/>
      <c r="F13" s="328"/>
      <c r="G13" s="328"/>
      <c r="H13" s="328"/>
      <c r="J13" s="291"/>
    </row>
    <row r="14" spans="1:14" x14ac:dyDescent="0.3">
      <c r="B14" s="27" t="s">
        <v>588</v>
      </c>
      <c r="C14" s="403" t="s">
        <v>50</v>
      </c>
      <c r="D14" s="371">
        <f t="shared" ref="D14:H14" si="3">+D11+D12-D13</f>
        <v>0</v>
      </c>
      <c r="E14" s="371">
        <f t="shared" si="3"/>
        <v>0</v>
      </c>
      <c r="F14" s="371">
        <f t="shared" si="3"/>
        <v>0</v>
      </c>
      <c r="G14" s="371">
        <f t="shared" si="3"/>
        <v>0</v>
      </c>
      <c r="H14" s="371">
        <f t="shared" si="3"/>
        <v>0</v>
      </c>
      <c r="J14" s="291"/>
    </row>
    <row r="15" spans="1:14" x14ac:dyDescent="0.3">
      <c r="B15" s="27" t="s">
        <v>589</v>
      </c>
      <c r="C15" s="403" t="s">
        <v>51</v>
      </c>
      <c r="D15" s="328"/>
      <c r="E15" s="371">
        <f>+D18</f>
        <v>0</v>
      </c>
      <c r="F15" s="371">
        <f t="shared" ref="F15:H15" si="4">+E18</f>
        <v>0</v>
      </c>
      <c r="G15" s="371">
        <f t="shared" si="4"/>
        <v>0</v>
      </c>
      <c r="H15" s="371">
        <f t="shared" si="4"/>
        <v>0</v>
      </c>
      <c r="J15" s="291"/>
    </row>
    <row r="16" spans="1:14" x14ac:dyDescent="0.3">
      <c r="B16" s="27" t="s">
        <v>590</v>
      </c>
      <c r="C16" s="404" t="s">
        <v>52</v>
      </c>
      <c r="D16" s="328"/>
      <c r="E16" s="328"/>
      <c r="F16" s="328"/>
      <c r="G16" s="328"/>
      <c r="H16" s="328"/>
      <c r="J16" s="291"/>
    </row>
    <row r="17" spans="2:10" x14ac:dyDescent="0.3">
      <c r="B17" s="27" t="s">
        <v>591</v>
      </c>
      <c r="C17" s="404" t="s">
        <v>53</v>
      </c>
      <c r="D17" s="328"/>
      <c r="E17" s="328"/>
      <c r="F17" s="328"/>
      <c r="G17" s="328"/>
      <c r="H17" s="328"/>
      <c r="J17" s="291"/>
    </row>
    <row r="18" spans="2:10" x14ac:dyDescent="0.3">
      <c r="B18" s="27" t="s">
        <v>592</v>
      </c>
      <c r="C18" s="403" t="s">
        <v>54</v>
      </c>
      <c r="D18" s="371">
        <f>SUM(D15:D17)</f>
        <v>0</v>
      </c>
      <c r="E18" s="371">
        <f t="shared" ref="E18:H18" si="5">SUM(E15:E17)</f>
        <v>0</v>
      </c>
      <c r="F18" s="371">
        <f t="shared" si="5"/>
        <v>0</v>
      </c>
      <c r="G18" s="371">
        <f t="shared" si="5"/>
        <v>0</v>
      </c>
      <c r="H18" s="371">
        <f t="shared" si="5"/>
        <v>0</v>
      </c>
      <c r="J18" s="291"/>
    </row>
    <row r="19" spans="2:10" x14ac:dyDescent="0.3">
      <c r="B19" s="27" t="s">
        <v>593</v>
      </c>
      <c r="C19" s="405" t="s">
        <v>55</v>
      </c>
      <c r="D19" s="371">
        <f>+D14-D18</f>
        <v>0</v>
      </c>
      <c r="E19" s="371">
        <f t="shared" ref="E19:H19" si="6">+E14-E18</f>
        <v>0</v>
      </c>
      <c r="F19" s="371">
        <f t="shared" si="6"/>
        <v>0</v>
      </c>
      <c r="G19" s="371">
        <f t="shared" si="6"/>
        <v>0</v>
      </c>
      <c r="H19" s="371">
        <f t="shared" si="6"/>
        <v>0</v>
      </c>
      <c r="J19" s="291"/>
    </row>
    <row r="20" spans="2:10" x14ac:dyDescent="0.3">
      <c r="B20" s="157" t="s">
        <v>594</v>
      </c>
      <c r="C20" s="201" t="s">
        <v>56</v>
      </c>
      <c r="D20" s="201"/>
      <c r="E20" s="201"/>
      <c r="F20" s="201"/>
      <c r="G20" s="201"/>
      <c r="H20" s="201"/>
      <c r="J20" s="291"/>
    </row>
    <row r="21" spans="2:10" x14ac:dyDescent="0.3">
      <c r="B21" s="27" t="s">
        <v>585</v>
      </c>
      <c r="C21" s="403" t="s">
        <v>48</v>
      </c>
      <c r="D21" s="328"/>
      <c r="E21" s="371">
        <f>D24</f>
        <v>0</v>
      </c>
      <c r="F21" s="371">
        <f t="shared" ref="F21:H21" si="7">E24</f>
        <v>0</v>
      </c>
      <c r="G21" s="371">
        <f t="shared" si="7"/>
        <v>0</v>
      </c>
      <c r="H21" s="371">
        <f t="shared" si="7"/>
        <v>0</v>
      </c>
      <c r="J21" s="291"/>
    </row>
    <row r="22" spans="2:10" x14ac:dyDescent="0.3">
      <c r="B22" s="27" t="s">
        <v>586</v>
      </c>
      <c r="C22" s="404" t="s">
        <v>46</v>
      </c>
      <c r="D22" s="328"/>
      <c r="E22" s="328"/>
      <c r="F22" s="328"/>
      <c r="G22" s="328"/>
      <c r="H22" s="328"/>
      <c r="J22" s="291"/>
    </row>
    <row r="23" spans="2:10" x14ac:dyDescent="0.3">
      <c r="B23" s="27" t="s">
        <v>587</v>
      </c>
      <c r="C23" s="404" t="s">
        <v>49</v>
      </c>
      <c r="D23" s="328"/>
      <c r="E23" s="328"/>
      <c r="F23" s="328"/>
      <c r="G23" s="328"/>
      <c r="H23" s="328"/>
      <c r="J23" s="291"/>
    </row>
    <row r="24" spans="2:10" x14ac:dyDescent="0.3">
      <c r="B24" s="27" t="s">
        <v>588</v>
      </c>
      <c r="C24" s="403" t="s">
        <v>50</v>
      </c>
      <c r="D24" s="371">
        <f>+D21+D22-D23</f>
        <v>0</v>
      </c>
      <c r="E24" s="371">
        <f t="shared" ref="E24:H24" si="8">+E21+E22-E23</f>
        <v>0</v>
      </c>
      <c r="F24" s="371">
        <f t="shared" si="8"/>
        <v>0</v>
      </c>
      <c r="G24" s="371">
        <f t="shared" si="8"/>
        <v>0</v>
      </c>
      <c r="H24" s="371">
        <f t="shared" si="8"/>
        <v>0</v>
      </c>
      <c r="J24" s="291"/>
    </row>
    <row r="25" spans="2:10" x14ac:dyDescent="0.3">
      <c r="B25" s="27" t="s">
        <v>589</v>
      </c>
      <c r="C25" s="403" t="s">
        <v>51</v>
      </c>
      <c r="D25" s="328"/>
      <c r="E25" s="371">
        <f>D28</f>
        <v>0</v>
      </c>
      <c r="F25" s="371">
        <f t="shared" ref="F25:H25" si="9">E28</f>
        <v>0</v>
      </c>
      <c r="G25" s="371">
        <f t="shared" si="9"/>
        <v>0</v>
      </c>
      <c r="H25" s="371">
        <f t="shared" si="9"/>
        <v>0</v>
      </c>
      <c r="J25" s="291"/>
    </row>
    <row r="26" spans="2:10" x14ac:dyDescent="0.3">
      <c r="B26" s="27" t="s">
        <v>590</v>
      </c>
      <c r="C26" s="404" t="s">
        <v>52</v>
      </c>
      <c r="D26" s="328"/>
      <c r="E26" s="328"/>
      <c r="F26" s="328"/>
      <c r="G26" s="328"/>
      <c r="H26" s="328"/>
      <c r="J26" s="291"/>
    </row>
    <row r="27" spans="2:10" x14ac:dyDescent="0.3">
      <c r="B27" s="27" t="s">
        <v>591</v>
      </c>
      <c r="C27" s="404" t="s">
        <v>53</v>
      </c>
      <c r="D27" s="328"/>
      <c r="E27" s="328"/>
      <c r="F27" s="328"/>
      <c r="G27" s="328"/>
      <c r="H27" s="328"/>
      <c r="J27" s="291"/>
    </row>
    <row r="28" spans="2:10" x14ac:dyDescent="0.3">
      <c r="B28" s="27" t="s">
        <v>592</v>
      </c>
      <c r="C28" s="403" t="s">
        <v>54</v>
      </c>
      <c r="D28" s="371">
        <f>SUM(D25:D27)</f>
        <v>0</v>
      </c>
      <c r="E28" s="371">
        <f t="shared" ref="E28:H28" si="10">SUM(E25:E27)</f>
        <v>0</v>
      </c>
      <c r="F28" s="371">
        <f t="shared" si="10"/>
        <v>0</v>
      </c>
      <c r="G28" s="371">
        <f t="shared" si="10"/>
        <v>0</v>
      </c>
      <c r="H28" s="371">
        <f t="shared" si="10"/>
        <v>0</v>
      </c>
      <c r="J28" s="291"/>
    </row>
    <row r="29" spans="2:10" x14ac:dyDescent="0.3">
      <c r="B29" s="27" t="s">
        <v>593</v>
      </c>
      <c r="C29" s="405" t="s">
        <v>55</v>
      </c>
      <c r="D29" s="371">
        <f>+D24-D28</f>
        <v>0</v>
      </c>
      <c r="E29" s="371">
        <f t="shared" ref="E29:H29" si="11">+E24-E28</f>
        <v>0</v>
      </c>
      <c r="F29" s="371">
        <f t="shared" si="11"/>
        <v>0</v>
      </c>
      <c r="G29" s="371">
        <f t="shared" si="11"/>
        <v>0</v>
      </c>
      <c r="H29" s="371">
        <f t="shared" si="11"/>
        <v>0</v>
      </c>
      <c r="J29" s="291"/>
    </row>
    <row r="30" spans="2:10" x14ac:dyDescent="0.3">
      <c r="B30" s="157" t="s">
        <v>595</v>
      </c>
      <c r="C30" s="201" t="s">
        <v>40</v>
      </c>
      <c r="D30" s="201"/>
      <c r="E30" s="201"/>
      <c r="F30" s="201"/>
      <c r="G30" s="201"/>
      <c r="H30" s="201"/>
      <c r="J30" s="291"/>
    </row>
    <row r="31" spans="2:10" x14ac:dyDescent="0.3">
      <c r="B31" s="27" t="s">
        <v>596</v>
      </c>
      <c r="C31" s="403" t="s">
        <v>48</v>
      </c>
      <c r="D31" s="328"/>
      <c r="E31" s="371">
        <f>D34</f>
        <v>0</v>
      </c>
      <c r="F31" s="371">
        <f t="shared" ref="F31:H31" si="12">E34</f>
        <v>0</v>
      </c>
      <c r="G31" s="371">
        <f t="shared" si="12"/>
        <v>0</v>
      </c>
      <c r="H31" s="371">
        <f t="shared" si="12"/>
        <v>0</v>
      </c>
      <c r="J31" s="291"/>
    </row>
    <row r="32" spans="2:10" x14ac:dyDescent="0.3">
      <c r="B32" s="27" t="s">
        <v>597</v>
      </c>
      <c r="C32" s="404" t="s">
        <v>46</v>
      </c>
      <c r="D32" s="328"/>
      <c r="E32" s="328"/>
      <c r="F32" s="328"/>
      <c r="G32" s="328"/>
      <c r="H32" s="328"/>
      <c r="J32" s="291"/>
    </row>
    <row r="33" spans="2:10" x14ac:dyDescent="0.3">
      <c r="B33" s="27" t="s">
        <v>598</v>
      </c>
      <c r="C33" s="404" t="s">
        <v>49</v>
      </c>
      <c r="D33" s="328"/>
      <c r="E33" s="328"/>
      <c r="F33" s="328"/>
      <c r="G33" s="328"/>
      <c r="H33" s="328"/>
      <c r="J33" s="291"/>
    </row>
    <row r="34" spans="2:10" x14ac:dyDescent="0.3">
      <c r="B34" s="27" t="s">
        <v>599</v>
      </c>
      <c r="C34" s="403" t="s">
        <v>50</v>
      </c>
      <c r="D34" s="371">
        <f t="shared" ref="D34:H34" si="13">+D31+D32-D33</f>
        <v>0</v>
      </c>
      <c r="E34" s="371">
        <f t="shared" si="13"/>
        <v>0</v>
      </c>
      <c r="F34" s="371">
        <f t="shared" si="13"/>
        <v>0</v>
      </c>
      <c r="G34" s="371">
        <f t="shared" si="13"/>
        <v>0</v>
      </c>
      <c r="H34" s="371">
        <f t="shared" si="13"/>
        <v>0</v>
      </c>
      <c r="J34" s="291"/>
    </row>
    <row r="35" spans="2:10" x14ac:dyDescent="0.3">
      <c r="B35" s="27" t="s">
        <v>600</v>
      </c>
      <c r="C35" s="403" t="s">
        <v>51</v>
      </c>
      <c r="D35" s="328"/>
      <c r="E35" s="371">
        <f>D38</f>
        <v>0</v>
      </c>
      <c r="F35" s="371">
        <f t="shared" ref="F35:H35" si="14">E38</f>
        <v>0</v>
      </c>
      <c r="G35" s="371">
        <f t="shared" si="14"/>
        <v>0</v>
      </c>
      <c r="H35" s="371">
        <f t="shared" si="14"/>
        <v>0</v>
      </c>
      <c r="J35" s="291"/>
    </row>
    <row r="36" spans="2:10" x14ac:dyDescent="0.3">
      <c r="B36" s="27" t="s">
        <v>601</v>
      </c>
      <c r="C36" s="404" t="s">
        <v>52</v>
      </c>
      <c r="D36" s="328"/>
      <c r="E36" s="328"/>
      <c r="F36" s="328"/>
      <c r="G36" s="328"/>
      <c r="H36" s="328"/>
      <c r="J36" s="291"/>
    </row>
    <row r="37" spans="2:10" x14ac:dyDescent="0.3">
      <c r="B37" s="27" t="s">
        <v>602</v>
      </c>
      <c r="C37" s="404" t="s">
        <v>53</v>
      </c>
      <c r="D37" s="328"/>
      <c r="E37" s="328"/>
      <c r="F37" s="328"/>
      <c r="G37" s="328"/>
      <c r="H37" s="328"/>
      <c r="J37" s="291"/>
    </row>
    <row r="38" spans="2:10" x14ac:dyDescent="0.3">
      <c r="B38" s="27" t="s">
        <v>603</v>
      </c>
      <c r="C38" s="403" t="s">
        <v>54</v>
      </c>
      <c r="D38" s="371">
        <f t="shared" ref="D38:H38" si="15">SUM(D35:D37)</f>
        <v>0</v>
      </c>
      <c r="E38" s="371">
        <f t="shared" si="15"/>
        <v>0</v>
      </c>
      <c r="F38" s="371">
        <f t="shared" si="15"/>
        <v>0</v>
      </c>
      <c r="G38" s="371">
        <f t="shared" si="15"/>
        <v>0</v>
      </c>
      <c r="H38" s="371">
        <f t="shared" si="15"/>
        <v>0</v>
      </c>
      <c r="J38" s="291"/>
    </row>
    <row r="39" spans="2:10" x14ac:dyDescent="0.3">
      <c r="B39" s="27" t="s">
        <v>604</v>
      </c>
      <c r="C39" s="405" t="s">
        <v>55</v>
      </c>
      <c r="D39" s="371">
        <f>+D34-D38</f>
        <v>0</v>
      </c>
      <c r="E39" s="371">
        <f t="shared" ref="E39:H39" si="16">+E34-E38</f>
        <v>0</v>
      </c>
      <c r="F39" s="371">
        <f t="shared" si="16"/>
        <v>0</v>
      </c>
      <c r="G39" s="371">
        <f t="shared" si="16"/>
        <v>0</v>
      </c>
      <c r="H39" s="371">
        <f t="shared" si="16"/>
        <v>0</v>
      </c>
      <c r="J39" s="291"/>
    </row>
    <row r="40" spans="2:10" x14ac:dyDescent="0.3">
      <c r="B40" s="157" t="s">
        <v>605</v>
      </c>
      <c r="C40" s="201" t="s">
        <v>57</v>
      </c>
      <c r="D40" s="201"/>
      <c r="E40" s="201"/>
      <c r="F40" s="201"/>
      <c r="G40" s="201"/>
      <c r="H40" s="201"/>
      <c r="J40" s="291"/>
    </row>
    <row r="41" spans="2:10" x14ac:dyDescent="0.3">
      <c r="B41" s="27" t="s">
        <v>606</v>
      </c>
      <c r="C41" s="403" t="s">
        <v>48</v>
      </c>
      <c r="D41" s="328"/>
      <c r="E41" s="371">
        <f>D44</f>
        <v>0</v>
      </c>
      <c r="F41" s="371">
        <f t="shared" ref="F41:H41" si="17">E44</f>
        <v>0</v>
      </c>
      <c r="G41" s="371">
        <f t="shared" si="17"/>
        <v>0</v>
      </c>
      <c r="H41" s="371">
        <f t="shared" si="17"/>
        <v>0</v>
      </c>
      <c r="J41" s="291"/>
    </row>
    <row r="42" spans="2:10" x14ac:dyDescent="0.3">
      <c r="B42" s="27" t="s">
        <v>607</v>
      </c>
      <c r="C42" s="404" t="s">
        <v>46</v>
      </c>
      <c r="D42" s="328"/>
      <c r="E42" s="328"/>
      <c r="F42" s="328"/>
      <c r="G42" s="328"/>
      <c r="H42" s="328"/>
      <c r="J42" s="291"/>
    </row>
    <row r="43" spans="2:10" x14ac:dyDescent="0.3">
      <c r="B43" s="27" t="s">
        <v>608</v>
      </c>
      <c r="C43" s="404" t="s">
        <v>49</v>
      </c>
      <c r="D43" s="328"/>
      <c r="E43" s="328"/>
      <c r="F43" s="328"/>
      <c r="G43" s="328"/>
      <c r="H43" s="328"/>
      <c r="J43" s="291"/>
    </row>
    <row r="44" spans="2:10" x14ac:dyDescent="0.3">
      <c r="B44" s="27" t="s">
        <v>609</v>
      </c>
      <c r="C44" s="403" t="s">
        <v>50</v>
      </c>
      <c r="D44" s="371">
        <f t="shared" ref="D44:H44" si="18">+D41+D42-D43</f>
        <v>0</v>
      </c>
      <c r="E44" s="371">
        <f t="shared" si="18"/>
        <v>0</v>
      </c>
      <c r="F44" s="371">
        <f t="shared" si="18"/>
        <v>0</v>
      </c>
      <c r="G44" s="371">
        <f t="shared" si="18"/>
        <v>0</v>
      </c>
      <c r="H44" s="371">
        <f t="shared" si="18"/>
        <v>0</v>
      </c>
      <c r="J44" s="291"/>
    </row>
    <row r="45" spans="2:10" x14ac:dyDescent="0.3">
      <c r="B45" s="27" t="s">
        <v>610</v>
      </c>
      <c r="C45" s="403" t="s">
        <v>51</v>
      </c>
      <c r="D45" s="328"/>
      <c r="E45" s="371">
        <f>D48</f>
        <v>0</v>
      </c>
      <c r="F45" s="371">
        <f t="shared" ref="F45:H45" si="19">E48</f>
        <v>0</v>
      </c>
      <c r="G45" s="371">
        <f t="shared" si="19"/>
        <v>0</v>
      </c>
      <c r="H45" s="371">
        <f t="shared" si="19"/>
        <v>0</v>
      </c>
      <c r="J45" s="291"/>
    </row>
    <row r="46" spans="2:10" x14ac:dyDescent="0.3">
      <c r="B46" s="27" t="s">
        <v>611</v>
      </c>
      <c r="C46" s="404" t="s">
        <v>52</v>
      </c>
      <c r="D46" s="328"/>
      <c r="E46" s="328"/>
      <c r="F46" s="328"/>
      <c r="G46" s="328"/>
      <c r="H46" s="328"/>
      <c r="J46" s="291"/>
    </row>
    <row r="47" spans="2:10" x14ac:dyDescent="0.3">
      <c r="B47" s="27" t="s">
        <v>612</v>
      </c>
      <c r="C47" s="404" t="s">
        <v>53</v>
      </c>
      <c r="D47" s="328"/>
      <c r="E47" s="328"/>
      <c r="F47" s="328"/>
      <c r="G47" s="328"/>
      <c r="H47" s="328"/>
      <c r="J47" s="291"/>
    </row>
    <row r="48" spans="2:10" x14ac:dyDescent="0.3">
      <c r="B48" s="27" t="s">
        <v>613</v>
      </c>
      <c r="C48" s="403" t="s">
        <v>54</v>
      </c>
      <c r="D48" s="371">
        <f t="shared" ref="D48:H48" si="20">SUM(D45:D47)</f>
        <v>0</v>
      </c>
      <c r="E48" s="371">
        <f t="shared" si="20"/>
        <v>0</v>
      </c>
      <c r="F48" s="371">
        <f t="shared" si="20"/>
        <v>0</v>
      </c>
      <c r="G48" s="371">
        <f t="shared" si="20"/>
        <v>0</v>
      </c>
      <c r="H48" s="371">
        <f t="shared" si="20"/>
        <v>0</v>
      </c>
      <c r="J48" s="291"/>
    </row>
    <row r="49" spans="2:10" x14ac:dyDescent="0.3">
      <c r="B49" s="27" t="s">
        <v>614</v>
      </c>
      <c r="C49" s="405" t="s">
        <v>55</v>
      </c>
      <c r="D49" s="371">
        <f>+D44-D48</f>
        <v>0</v>
      </c>
      <c r="E49" s="371">
        <f t="shared" ref="E49:H49" si="21">+E44-E48</f>
        <v>0</v>
      </c>
      <c r="F49" s="371">
        <f t="shared" si="21"/>
        <v>0</v>
      </c>
      <c r="G49" s="371">
        <f t="shared" si="21"/>
        <v>0</v>
      </c>
      <c r="H49" s="371">
        <f t="shared" si="21"/>
        <v>0</v>
      </c>
      <c r="J49" s="291"/>
    </row>
    <row r="50" spans="2:10" x14ac:dyDescent="0.3">
      <c r="B50" s="157" t="s">
        <v>615</v>
      </c>
      <c r="C50" s="201" t="s">
        <v>58</v>
      </c>
      <c r="D50" s="201"/>
      <c r="E50" s="201"/>
      <c r="F50" s="201"/>
      <c r="G50" s="201"/>
      <c r="H50" s="201"/>
      <c r="I50" s="16"/>
      <c r="J50" s="291"/>
    </row>
    <row r="51" spans="2:10" x14ac:dyDescent="0.3">
      <c r="B51" s="27" t="s">
        <v>616</v>
      </c>
      <c r="C51" s="403" t="s">
        <v>48</v>
      </c>
      <c r="D51" s="328"/>
      <c r="E51" s="371">
        <f>D54</f>
        <v>0</v>
      </c>
      <c r="F51" s="371">
        <f t="shared" ref="F51:H51" si="22">E54</f>
        <v>0</v>
      </c>
      <c r="G51" s="371">
        <f t="shared" si="22"/>
        <v>0</v>
      </c>
      <c r="H51" s="371">
        <f t="shared" si="22"/>
        <v>0</v>
      </c>
      <c r="J51" s="291"/>
    </row>
    <row r="52" spans="2:10" x14ac:dyDescent="0.3">
      <c r="B52" s="27" t="s">
        <v>617</v>
      </c>
      <c r="C52" s="404" t="s">
        <v>46</v>
      </c>
      <c r="D52" s="328"/>
      <c r="E52" s="328"/>
      <c r="F52" s="328"/>
      <c r="G52" s="328"/>
      <c r="H52" s="328"/>
      <c r="J52" s="291"/>
    </row>
    <row r="53" spans="2:10" x14ac:dyDescent="0.3">
      <c r="B53" s="27" t="s">
        <v>618</v>
      </c>
      <c r="C53" s="404" t="s">
        <v>49</v>
      </c>
      <c r="D53" s="328"/>
      <c r="E53" s="328"/>
      <c r="F53" s="328"/>
      <c r="G53" s="328"/>
      <c r="H53" s="328"/>
      <c r="J53" s="291"/>
    </row>
    <row r="54" spans="2:10" s="28" customFormat="1" x14ac:dyDescent="0.3">
      <c r="B54" s="27" t="s">
        <v>619</v>
      </c>
      <c r="C54" s="403" t="s">
        <v>50</v>
      </c>
      <c r="D54" s="371">
        <f>+D51+D52-D53</f>
        <v>0</v>
      </c>
      <c r="E54" s="371">
        <f t="shared" ref="E54:H54" si="23">+E51+E52-E53</f>
        <v>0</v>
      </c>
      <c r="F54" s="371">
        <f t="shared" si="23"/>
        <v>0</v>
      </c>
      <c r="G54" s="371">
        <f t="shared" si="23"/>
        <v>0</v>
      </c>
      <c r="H54" s="371">
        <f t="shared" si="23"/>
        <v>0</v>
      </c>
      <c r="I54" s="12"/>
      <c r="J54" s="291"/>
    </row>
    <row r="55" spans="2:10" x14ac:dyDescent="0.3">
      <c r="B55" s="27" t="s">
        <v>620</v>
      </c>
      <c r="C55" s="403" t="s">
        <v>51</v>
      </c>
      <c r="D55" s="328"/>
      <c r="E55" s="371">
        <f>D58</f>
        <v>0</v>
      </c>
      <c r="F55" s="371">
        <f t="shared" ref="F55:H55" si="24">E58</f>
        <v>0</v>
      </c>
      <c r="G55" s="371">
        <f t="shared" si="24"/>
        <v>0</v>
      </c>
      <c r="H55" s="371">
        <f t="shared" si="24"/>
        <v>0</v>
      </c>
      <c r="I55" s="16"/>
      <c r="J55" s="291"/>
    </row>
    <row r="56" spans="2:10" x14ac:dyDescent="0.3">
      <c r="B56" s="27" t="s">
        <v>621</v>
      </c>
      <c r="C56" s="404" t="s">
        <v>52</v>
      </c>
      <c r="D56" s="328"/>
      <c r="E56" s="328"/>
      <c r="F56" s="328"/>
      <c r="G56" s="328"/>
      <c r="H56" s="328"/>
      <c r="I56" s="16"/>
      <c r="J56" s="291"/>
    </row>
    <row r="57" spans="2:10" x14ac:dyDescent="0.3">
      <c r="B57" s="27" t="s">
        <v>622</v>
      </c>
      <c r="C57" s="404" t="s">
        <v>53</v>
      </c>
      <c r="D57" s="328"/>
      <c r="E57" s="328"/>
      <c r="F57" s="328"/>
      <c r="G57" s="328"/>
      <c r="H57" s="328"/>
      <c r="I57" s="16"/>
      <c r="J57" s="291"/>
    </row>
    <row r="58" spans="2:10" x14ac:dyDescent="0.3">
      <c r="B58" s="27" t="s">
        <v>623</v>
      </c>
      <c r="C58" s="403" t="s">
        <v>54</v>
      </c>
      <c r="D58" s="371">
        <f t="shared" ref="D58:H58" si="25">SUM(D55:D57)</f>
        <v>0</v>
      </c>
      <c r="E58" s="371">
        <f t="shared" si="25"/>
        <v>0</v>
      </c>
      <c r="F58" s="371">
        <f t="shared" si="25"/>
        <v>0</v>
      </c>
      <c r="G58" s="371">
        <f t="shared" si="25"/>
        <v>0</v>
      </c>
      <c r="H58" s="371">
        <f t="shared" si="25"/>
        <v>0</v>
      </c>
      <c r="I58" s="16"/>
      <c r="J58" s="291"/>
    </row>
    <row r="59" spans="2:10" ht="14.4" thickBot="1" x14ac:dyDescent="0.35">
      <c r="B59" s="27" t="s">
        <v>624</v>
      </c>
      <c r="C59" s="406" t="s">
        <v>55</v>
      </c>
      <c r="D59" s="371">
        <f>+D54-D58</f>
        <v>0</v>
      </c>
      <c r="E59" s="371">
        <f t="shared" ref="E59:H59" si="26">+E54-E58</f>
        <v>0</v>
      </c>
      <c r="F59" s="371">
        <f t="shared" si="26"/>
        <v>0</v>
      </c>
      <c r="G59" s="371">
        <f t="shared" si="26"/>
        <v>0</v>
      </c>
      <c r="H59" s="371">
        <f t="shared" si="26"/>
        <v>0</v>
      </c>
      <c r="I59" s="16"/>
      <c r="J59" s="291"/>
    </row>
    <row r="60" spans="2:10" ht="13.35" customHeight="1" thickTop="1" x14ac:dyDescent="0.3">
      <c r="B60" s="217" t="s">
        <v>625</v>
      </c>
      <c r="C60" s="407" t="s">
        <v>374</v>
      </c>
      <c r="D60" s="158"/>
      <c r="E60" s="158"/>
      <c r="F60" s="158"/>
      <c r="G60" s="158"/>
      <c r="H60" s="158"/>
      <c r="I60" s="16"/>
      <c r="J60" s="291"/>
    </row>
    <row r="61" spans="2:10" ht="13.35" customHeight="1" x14ac:dyDescent="0.3">
      <c r="B61" s="29" t="s">
        <v>626</v>
      </c>
      <c r="C61" s="408" t="s">
        <v>48</v>
      </c>
      <c r="D61" s="183">
        <f t="shared" ref="D61:H69" si="27">SUMIFS(D$5:D$59,$C$5:$C$59,$C61)</f>
        <v>0</v>
      </c>
      <c r="E61" s="183">
        <f t="shared" si="27"/>
        <v>0</v>
      </c>
      <c r="F61" s="183">
        <f t="shared" si="27"/>
        <v>0</v>
      </c>
      <c r="G61" s="183">
        <f t="shared" si="27"/>
        <v>0</v>
      </c>
      <c r="H61" s="183">
        <f t="shared" si="27"/>
        <v>0</v>
      </c>
      <c r="J61" s="291"/>
    </row>
    <row r="62" spans="2:10" ht="13.35" customHeight="1" x14ac:dyDescent="0.3">
      <c r="B62" s="29" t="s">
        <v>627</v>
      </c>
      <c r="C62" s="408" t="s">
        <v>46</v>
      </c>
      <c r="D62" s="183">
        <f>SUMIFS(D$5:D$59,$C$5:$C$59,$C62)</f>
        <v>0</v>
      </c>
      <c r="E62" s="183">
        <f t="shared" si="27"/>
        <v>0</v>
      </c>
      <c r="F62" s="183">
        <f t="shared" si="27"/>
        <v>0</v>
      </c>
      <c r="G62" s="183">
        <f t="shared" si="27"/>
        <v>0</v>
      </c>
      <c r="H62" s="183">
        <f t="shared" si="27"/>
        <v>0</v>
      </c>
      <c r="J62" s="291"/>
    </row>
    <row r="63" spans="2:10" ht="13.35" customHeight="1" x14ac:dyDescent="0.3">
      <c r="B63" s="29" t="s">
        <v>628</v>
      </c>
      <c r="C63" s="408" t="s">
        <v>49</v>
      </c>
      <c r="D63" s="183">
        <f t="shared" si="27"/>
        <v>0</v>
      </c>
      <c r="E63" s="183">
        <f t="shared" si="27"/>
        <v>0</v>
      </c>
      <c r="F63" s="183">
        <f t="shared" si="27"/>
        <v>0</v>
      </c>
      <c r="G63" s="183">
        <f t="shared" si="27"/>
        <v>0</v>
      </c>
      <c r="H63" s="183">
        <f t="shared" si="27"/>
        <v>0</v>
      </c>
      <c r="J63" s="291"/>
    </row>
    <row r="64" spans="2:10" ht="13.35" customHeight="1" x14ac:dyDescent="0.3">
      <c r="B64" s="29" t="s">
        <v>629</v>
      </c>
      <c r="C64" s="408" t="s">
        <v>50</v>
      </c>
      <c r="D64" s="183">
        <f t="shared" si="27"/>
        <v>0</v>
      </c>
      <c r="E64" s="183">
        <f t="shared" si="27"/>
        <v>0</v>
      </c>
      <c r="F64" s="183">
        <f t="shared" si="27"/>
        <v>0</v>
      </c>
      <c r="G64" s="183">
        <f t="shared" si="27"/>
        <v>0</v>
      </c>
      <c r="H64" s="183">
        <f t="shared" si="27"/>
        <v>0</v>
      </c>
      <c r="J64" s="291"/>
    </row>
    <row r="65" spans="2:10" ht="13.35" customHeight="1" x14ac:dyDescent="0.3">
      <c r="B65" s="29" t="s">
        <v>630</v>
      </c>
      <c r="C65" s="408" t="s">
        <v>51</v>
      </c>
      <c r="D65" s="183">
        <f t="shared" si="27"/>
        <v>0</v>
      </c>
      <c r="E65" s="183">
        <f t="shared" si="27"/>
        <v>0</v>
      </c>
      <c r="F65" s="183">
        <f t="shared" si="27"/>
        <v>0</v>
      </c>
      <c r="G65" s="183">
        <f t="shared" si="27"/>
        <v>0</v>
      </c>
      <c r="H65" s="183">
        <f t="shared" si="27"/>
        <v>0</v>
      </c>
      <c r="J65" s="291"/>
    </row>
    <row r="66" spans="2:10" ht="13.35" customHeight="1" x14ac:dyDescent="0.3">
      <c r="B66" s="29" t="s">
        <v>631</v>
      </c>
      <c r="C66" s="408" t="s">
        <v>52</v>
      </c>
      <c r="D66" s="183">
        <f t="shared" si="27"/>
        <v>0</v>
      </c>
      <c r="E66" s="183">
        <f t="shared" si="27"/>
        <v>0</v>
      </c>
      <c r="F66" s="183">
        <f t="shared" si="27"/>
        <v>0</v>
      </c>
      <c r="G66" s="183">
        <f t="shared" si="27"/>
        <v>0</v>
      </c>
      <c r="H66" s="183">
        <f t="shared" si="27"/>
        <v>0</v>
      </c>
      <c r="J66" s="291"/>
    </row>
    <row r="67" spans="2:10" ht="13.35" customHeight="1" x14ac:dyDescent="0.3">
      <c r="B67" s="29" t="s">
        <v>632</v>
      </c>
      <c r="C67" s="408" t="s">
        <v>53</v>
      </c>
      <c r="D67" s="183">
        <f t="shared" si="27"/>
        <v>0</v>
      </c>
      <c r="E67" s="183">
        <f t="shared" si="27"/>
        <v>0</v>
      </c>
      <c r="F67" s="183">
        <f t="shared" si="27"/>
        <v>0</v>
      </c>
      <c r="G67" s="183">
        <f t="shared" si="27"/>
        <v>0</v>
      </c>
      <c r="H67" s="183">
        <f t="shared" si="27"/>
        <v>0</v>
      </c>
      <c r="J67" s="291"/>
    </row>
    <row r="68" spans="2:10" ht="13.35" customHeight="1" x14ac:dyDescent="0.3">
      <c r="B68" s="29" t="s">
        <v>633</v>
      </c>
      <c r="C68" s="408" t="s">
        <v>54</v>
      </c>
      <c r="D68" s="183">
        <f t="shared" si="27"/>
        <v>0</v>
      </c>
      <c r="E68" s="183">
        <f t="shared" si="27"/>
        <v>0</v>
      </c>
      <c r="F68" s="183">
        <f t="shared" si="27"/>
        <v>0</v>
      </c>
      <c r="G68" s="183">
        <f t="shared" si="27"/>
        <v>0</v>
      </c>
      <c r="H68" s="183">
        <f t="shared" si="27"/>
        <v>0</v>
      </c>
      <c r="J68" s="291"/>
    </row>
    <row r="69" spans="2:10" ht="13.35" customHeight="1" thickBot="1" x14ac:dyDescent="0.35">
      <c r="B69" s="30" t="s">
        <v>634</v>
      </c>
      <c r="C69" s="409" t="s">
        <v>55</v>
      </c>
      <c r="D69" s="184">
        <f>SUMIFS(D$5:D$59,$C$5:$C$59,$C69)</f>
        <v>0</v>
      </c>
      <c r="E69" s="184">
        <f>SUMIFS(E$5:E$59,$C$5:$C$59,$C69)</f>
        <v>0</v>
      </c>
      <c r="F69" s="184">
        <f t="shared" si="27"/>
        <v>0</v>
      </c>
      <c r="G69" s="184">
        <f t="shared" si="27"/>
        <v>0</v>
      </c>
      <c r="H69" s="184">
        <f t="shared" si="27"/>
        <v>0</v>
      </c>
      <c r="J69" s="291"/>
    </row>
    <row r="70" spans="2:10" ht="14.4" thickTop="1" x14ac:dyDescent="0.3"/>
  </sheetData>
  <sheetProtection algorithmName="SHA-512" hashValue="xPcaK56g3za9rqIdLwb4NcZuUImXUkpM7b4p+ge0hBzedqXJJ7823hXSb1z2/hth9C6x2RQwm921t+dvJUu4Fw==" saltValue="0maQDdLPB7yx4b9OVzpopw==" spinCount="100000" sheet="1" objects="1" scenarios="1" formatRows="0"/>
  <mergeCells count="4">
    <mergeCell ref="C1:H1"/>
    <mergeCell ref="B3:B4"/>
    <mergeCell ref="C3:C4"/>
    <mergeCell ref="E3:H3"/>
  </mergeCells>
  <phoneticPr fontId="12" type="noConversion"/>
  <conditionalFormatting sqref="D2:H2">
    <cfRule type="expression" dxfId="71" priority="13">
      <formula>D2&gt;0</formula>
    </cfRule>
    <cfRule type="expression" dxfId="70" priority="14">
      <formula>D2&lt;0</formula>
    </cfRule>
    <cfRule type="expression" dxfId="69" priority="15">
      <formula>D2=0</formula>
    </cfRule>
  </conditionalFormatting>
  <conditionalFormatting sqref="D4:H4">
    <cfRule type="expression" dxfId="68" priority="1">
      <formula>D4="-"</formula>
    </cfRule>
  </conditionalFormatting>
  <conditionalFormatting sqref="D9:H9">
    <cfRule type="cellIs" dxfId="67" priority="16" operator="lessThan">
      <formula>0</formula>
    </cfRule>
    <cfRule type="cellIs" dxfId="66" priority="17" operator="lessThan">
      <formula>0</formula>
    </cfRule>
  </conditionalFormatting>
  <conditionalFormatting sqref="D19:H19">
    <cfRule type="cellIs" dxfId="65" priority="28" operator="lessThan">
      <formula>0</formula>
    </cfRule>
    <cfRule type="cellIs" dxfId="64" priority="29" operator="lessThan">
      <formula>0</formula>
    </cfRule>
  </conditionalFormatting>
  <conditionalFormatting sqref="D29:H29">
    <cfRule type="cellIs" dxfId="63" priority="26" operator="lessThan">
      <formula>0</formula>
    </cfRule>
    <cfRule type="cellIs" dxfId="62" priority="27" operator="lessThan">
      <formula>0</formula>
    </cfRule>
  </conditionalFormatting>
  <conditionalFormatting sqref="D39:H39">
    <cfRule type="cellIs" dxfId="61" priority="24" operator="lessThan">
      <formula>0</formula>
    </cfRule>
    <cfRule type="cellIs" dxfId="60" priority="25" operator="lessThan">
      <formula>0</formula>
    </cfRule>
  </conditionalFormatting>
  <conditionalFormatting sqref="D49:H49">
    <cfRule type="cellIs" dxfId="59" priority="22" operator="lessThan">
      <formula>0</formula>
    </cfRule>
    <cfRule type="cellIs" dxfId="58" priority="23" operator="lessThan">
      <formula>0</formula>
    </cfRule>
  </conditionalFormatting>
  <conditionalFormatting sqref="D59:H59">
    <cfRule type="cellIs" dxfId="57" priority="20" operator="lessThan">
      <formula>0</formula>
    </cfRule>
    <cfRule type="cellIs" dxfId="56" priority="21" operator="lessThan">
      <formula>0</formula>
    </cfRule>
  </conditionalFormatting>
  <conditionalFormatting sqref="J2">
    <cfRule type="expression" dxfId="55" priority="6">
      <formula>ISNUMBER(SEARCH("Klaida", J2))</formula>
    </cfRule>
  </conditionalFormatting>
  <conditionalFormatting sqref="J3">
    <cfRule type="expression" dxfId="54" priority="5">
      <formula>ISNUMBER(SEARCH("Dėmesio", J3))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D4:H4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0">
    <tabColor theme="9" tint="-0.249977111117893"/>
  </sheetPr>
  <dimension ref="A1:V35"/>
  <sheetViews>
    <sheetView zoomScale="140" zoomScaleNormal="140" workbookViewId="0">
      <selection activeCell="B7" sqref="B7"/>
    </sheetView>
  </sheetViews>
  <sheetFormatPr defaultColWidth="8.6640625" defaultRowHeight="13.8" x14ac:dyDescent="0.3"/>
  <cols>
    <col min="1" max="1" width="6.6640625" style="11" customWidth="1"/>
    <col min="2" max="2" width="27.33203125" style="11" customWidth="1"/>
    <col min="3" max="3" width="10.6640625" style="11" customWidth="1"/>
    <col min="4" max="7" width="10" style="11" customWidth="1"/>
    <col min="8" max="8" width="10" style="10" customWidth="1"/>
    <col min="9" max="9" width="33.109375" style="11" customWidth="1"/>
    <col min="10" max="16384" width="8.6640625" style="11"/>
  </cols>
  <sheetData>
    <row r="1" spans="1:9" s="7" customFormat="1" ht="14.4" x14ac:dyDescent="0.3">
      <c r="A1" s="143" t="s">
        <v>34</v>
      </c>
      <c r="B1" s="490" t="s">
        <v>376</v>
      </c>
      <c r="C1" s="490"/>
      <c r="D1" s="490"/>
      <c r="E1" s="490"/>
      <c r="F1" s="490"/>
      <c r="G1" s="490"/>
      <c r="H1" s="6"/>
      <c r="I1" s="290" t="s">
        <v>293</v>
      </c>
    </row>
    <row r="2" spans="1:9" ht="5.0999999999999996" customHeight="1" x14ac:dyDescent="0.3">
      <c r="I2" s="291"/>
    </row>
    <row r="3" spans="1:9" ht="22.8" x14ac:dyDescent="0.3">
      <c r="A3" s="474" t="s">
        <v>22</v>
      </c>
      <c r="B3" s="474" t="s">
        <v>23</v>
      </c>
      <c r="C3" s="135" t="str">
        <f>IF(AND('1'!$C$22="Verslo pradžia",YEAR('1'!$E$22)=YEAR('1'!$C$11)),"Pradžios metai","Ataskaitiniai metai")</f>
        <v>Ataskaitiniai metai</v>
      </c>
      <c r="D3" s="463" t="s">
        <v>12</v>
      </c>
      <c r="E3" s="464"/>
      <c r="F3" s="464"/>
      <c r="G3" s="464"/>
      <c r="I3" s="291"/>
    </row>
    <row r="4" spans="1:9" ht="14.4" thickBot="1" x14ac:dyDescent="0.35">
      <c r="A4" s="475"/>
      <c r="B4" s="475"/>
      <c r="C4" s="358">
        <f>IF(C3="Pradžios metai",YEAR('1'!$E$22),IF((YEAR('1'!$C$11)-1)+COUNT(B4:$B4)&gt;YEAR('1'!$C$18)+Parametrai!$C$15,"-",(YEAR('1'!$C$11)-1)+COUNT(B4:$B4)))</f>
        <v>1899</v>
      </c>
      <c r="D4" s="358">
        <f>IF(D3="Pradžios metai",YEAR('1'!$E$22),IF((YEAR('1'!$C$11)-1)+COUNT($B4:C4)&gt;YEAR('1'!$C$18)+Parametrai!$C$15,"-",(YEAR('1'!$C$11)-1)+COUNT($B4:C4)))</f>
        <v>1900</v>
      </c>
      <c r="E4" s="358">
        <f>IF(E3="Pradžios metai",YEAR('1'!$E$22),IF((YEAR('1'!$C$11)-1)+COUNT($B4:D4)&gt;YEAR('1'!$C$18)+Parametrai!$C$15,"-",(YEAR('1'!$C$11)-1)+COUNT($B4:D4)))</f>
        <v>1901</v>
      </c>
      <c r="F4" s="358">
        <f>IF(F3="Pradžios metai",YEAR('1'!$E$22),IF((YEAR('1'!$C$11)-1)+COUNT($B4:E4)&gt;YEAR('1'!$C$18)+Parametrai!$C$15,"-",(YEAR('1'!$C$11)-1)+COUNT($B4:E4)))</f>
        <v>1902</v>
      </c>
      <c r="G4" s="358">
        <f>IF(G3="Pradžios metai",YEAR('1'!$E$22),IF((YEAR('1'!$C$11)-1)+COUNT($B4:F4)&gt;YEAR('1'!$C$18)+Parametrai!$C$15,"-",(YEAR('1'!$C$11)-1)+COUNT($B4:F4)))</f>
        <v>1903</v>
      </c>
      <c r="I4" s="291"/>
    </row>
    <row r="5" spans="1:9" s="20" customFormat="1" ht="12.6" thickTop="1" x14ac:dyDescent="0.3">
      <c r="A5" s="159" t="s">
        <v>375</v>
      </c>
      <c r="B5" s="160" t="s">
        <v>24</v>
      </c>
      <c r="C5" s="161"/>
      <c r="D5" s="161"/>
      <c r="E5" s="161"/>
      <c r="F5" s="161"/>
      <c r="G5" s="161"/>
      <c r="H5" s="19"/>
      <c r="I5" s="291"/>
    </row>
    <row r="6" spans="1:9" s="20" customFormat="1" ht="12" x14ac:dyDescent="0.3">
      <c r="A6" s="21" t="s">
        <v>635</v>
      </c>
      <c r="B6" s="22" t="s">
        <v>25</v>
      </c>
      <c r="C6" s="362">
        <f>+'2-3'!C13-C16-C24</f>
        <v>0</v>
      </c>
      <c r="D6" s="362">
        <f>+'2-3'!D13-D16-D24</f>
        <v>0</v>
      </c>
      <c r="E6" s="362">
        <f>+'2-3'!E13-E16-E24</f>
        <v>0</v>
      </c>
      <c r="F6" s="362">
        <f>+'2-3'!F13-F16-F24</f>
        <v>0</v>
      </c>
      <c r="G6" s="362">
        <f>+'2-3'!G13-G16-G24</f>
        <v>0</v>
      </c>
      <c r="H6" s="19"/>
      <c r="I6" s="276" t="s">
        <v>961</v>
      </c>
    </row>
    <row r="7" spans="1:9" s="20" customFormat="1" ht="12" x14ac:dyDescent="0.3">
      <c r="A7" s="21" t="s">
        <v>636</v>
      </c>
      <c r="B7" s="329"/>
      <c r="C7" s="330"/>
      <c r="D7" s="321"/>
      <c r="E7" s="321"/>
      <c r="F7" s="321"/>
      <c r="G7" s="321"/>
      <c r="H7" s="19"/>
      <c r="I7" s="291"/>
    </row>
    <row r="8" spans="1:9" s="20" customFormat="1" ht="12" x14ac:dyDescent="0.3">
      <c r="A8" s="21" t="s">
        <v>637</v>
      </c>
      <c r="B8" s="329"/>
      <c r="C8" s="330"/>
      <c r="D8" s="321"/>
      <c r="E8" s="321"/>
      <c r="F8" s="321"/>
      <c r="G8" s="321"/>
      <c r="H8" s="19"/>
      <c r="I8" s="291"/>
    </row>
    <row r="9" spans="1:9" s="20" customFormat="1" ht="12" x14ac:dyDescent="0.3">
      <c r="A9" s="21" t="s">
        <v>638</v>
      </c>
      <c r="B9" s="329"/>
      <c r="C9" s="330"/>
      <c r="D9" s="321"/>
      <c r="E9" s="321"/>
      <c r="F9" s="321"/>
      <c r="G9" s="321"/>
      <c r="H9" s="19"/>
      <c r="I9" s="291"/>
    </row>
    <row r="10" spans="1:9" s="20" customFormat="1" ht="12" x14ac:dyDescent="0.3">
      <c r="A10" s="21" t="s">
        <v>639</v>
      </c>
      <c r="B10" s="329"/>
      <c r="C10" s="330"/>
      <c r="D10" s="321"/>
      <c r="E10" s="321"/>
      <c r="F10" s="321"/>
      <c r="G10" s="321"/>
      <c r="H10" s="19"/>
      <c r="I10" s="291"/>
    </row>
    <row r="11" spans="1:9" s="20" customFormat="1" ht="12" x14ac:dyDescent="0.3">
      <c r="A11" s="21" t="s">
        <v>640</v>
      </c>
      <c r="B11" s="329"/>
      <c r="C11" s="330"/>
      <c r="D11" s="321"/>
      <c r="E11" s="321"/>
      <c r="F11" s="321"/>
      <c r="G11" s="321"/>
      <c r="H11" s="19"/>
      <c r="I11" s="291"/>
    </row>
    <row r="12" spans="1:9" s="20" customFormat="1" ht="24" x14ac:dyDescent="0.3">
      <c r="A12" s="21" t="s">
        <v>641</v>
      </c>
      <c r="B12" s="22" t="s">
        <v>26</v>
      </c>
      <c r="C12" s="362">
        <f>'6'!D66-C23</f>
        <v>0</v>
      </c>
      <c r="D12" s="362">
        <f>'6'!E66-D23</f>
        <v>0</v>
      </c>
      <c r="E12" s="362">
        <f>'6'!F66-E23</f>
        <v>0</v>
      </c>
      <c r="F12" s="362">
        <f>'6'!G66-F23</f>
        <v>0</v>
      </c>
      <c r="G12" s="362">
        <f>'6'!H66-G23</f>
        <v>0</v>
      </c>
      <c r="H12" s="19"/>
      <c r="I12" s="276" t="s">
        <v>962</v>
      </c>
    </row>
    <row r="13" spans="1:9" s="20" customFormat="1" ht="24" x14ac:dyDescent="0.3">
      <c r="A13" s="21" t="s">
        <v>642</v>
      </c>
      <c r="B13" s="22" t="s">
        <v>27</v>
      </c>
      <c r="C13" s="331"/>
      <c r="D13" s="331"/>
      <c r="E13" s="331"/>
      <c r="F13" s="331"/>
      <c r="G13" s="331"/>
      <c r="H13" s="19"/>
      <c r="I13" s="276"/>
    </row>
    <row r="14" spans="1:9" s="20" customFormat="1" ht="12.6" thickBot="1" x14ac:dyDescent="0.35">
      <c r="A14" s="109" t="s">
        <v>643</v>
      </c>
      <c r="B14" s="202" t="s">
        <v>28</v>
      </c>
      <c r="C14" s="373">
        <f>ROUND(SUM(C6:C13),0)</f>
        <v>0</v>
      </c>
      <c r="D14" s="373">
        <f>ROUND(SUM(D6:D13),0)</f>
        <v>0</v>
      </c>
      <c r="E14" s="373">
        <f t="shared" ref="E14:G14" si="0">ROUND(SUM(E6:E13),0)</f>
        <v>0</v>
      </c>
      <c r="F14" s="373">
        <f t="shared" si="0"/>
        <v>0</v>
      </c>
      <c r="G14" s="373">
        <f t="shared" si="0"/>
        <v>0</v>
      </c>
      <c r="H14" s="19"/>
      <c r="I14" s="291"/>
    </row>
    <row r="15" spans="1:9" s="20" customFormat="1" ht="12.6" thickTop="1" x14ac:dyDescent="0.3">
      <c r="A15" s="159" t="s">
        <v>644</v>
      </c>
      <c r="B15" s="162" t="s">
        <v>29</v>
      </c>
      <c r="C15" s="163"/>
      <c r="D15" s="163"/>
      <c r="E15" s="163"/>
      <c r="F15" s="163"/>
      <c r="G15" s="163"/>
      <c r="H15" s="19"/>
      <c r="I15" s="291"/>
    </row>
    <row r="16" spans="1:9" s="20" customFormat="1" ht="12" x14ac:dyDescent="0.3">
      <c r="A16" s="21" t="s">
        <v>645</v>
      </c>
      <c r="B16" s="22" t="s">
        <v>25</v>
      </c>
      <c r="C16" s="321"/>
      <c r="D16" s="321"/>
      <c r="E16" s="321"/>
      <c r="F16" s="321"/>
      <c r="G16" s="321"/>
      <c r="H16" s="19"/>
      <c r="I16" s="276" t="s">
        <v>408</v>
      </c>
    </row>
    <row r="17" spans="1:22" s="20" customFormat="1" ht="12" x14ac:dyDescent="0.3">
      <c r="A17" s="21" t="s">
        <v>646</v>
      </c>
      <c r="B17" s="329"/>
      <c r="C17" s="321"/>
      <c r="D17" s="321"/>
      <c r="E17" s="321"/>
      <c r="F17" s="321"/>
      <c r="G17" s="321"/>
      <c r="H17" s="19"/>
      <c r="I17" s="291"/>
    </row>
    <row r="18" spans="1:22" s="20" customFormat="1" ht="12" x14ac:dyDescent="0.3">
      <c r="A18" s="21" t="s">
        <v>647</v>
      </c>
      <c r="B18" s="329"/>
      <c r="C18" s="321"/>
      <c r="D18" s="321"/>
      <c r="E18" s="321"/>
      <c r="F18" s="321"/>
      <c r="G18" s="321"/>
      <c r="H18" s="19"/>
      <c r="I18" s="291"/>
    </row>
    <row r="19" spans="1:22" s="20" customFormat="1" ht="12" x14ac:dyDescent="0.3">
      <c r="A19" s="21" t="s">
        <v>648</v>
      </c>
      <c r="B19" s="329"/>
      <c r="C19" s="321"/>
      <c r="D19" s="321"/>
      <c r="E19" s="321"/>
      <c r="F19" s="321"/>
      <c r="G19" s="321"/>
      <c r="H19" s="19"/>
      <c r="I19" s="291"/>
    </row>
    <row r="20" spans="1:22" s="20" customFormat="1" ht="12" x14ac:dyDescent="0.3">
      <c r="A20" s="21" t="s">
        <v>649</v>
      </c>
      <c r="B20" s="329"/>
      <c r="C20" s="332"/>
      <c r="D20" s="332"/>
      <c r="E20" s="332"/>
      <c r="F20" s="332"/>
      <c r="G20" s="332"/>
      <c r="H20" s="19"/>
      <c r="I20" s="291"/>
    </row>
    <row r="21" spans="1:22" s="20" customFormat="1" ht="12.6" thickBot="1" x14ac:dyDescent="0.35">
      <c r="A21" s="109" t="s">
        <v>650</v>
      </c>
      <c r="B21" s="202" t="s">
        <v>30</v>
      </c>
      <c r="C21" s="373">
        <f>ROUND(SUM(C16:C20),0)</f>
        <v>0</v>
      </c>
      <c r="D21" s="373">
        <f t="shared" ref="D21:G21" si="1">ROUND(SUM(D16:D20),0)</f>
        <v>0</v>
      </c>
      <c r="E21" s="373">
        <f t="shared" si="1"/>
        <v>0</v>
      </c>
      <c r="F21" s="373">
        <f t="shared" si="1"/>
        <v>0</v>
      </c>
      <c r="G21" s="373">
        <f t="shared" si="1"/>
        <v>0</v>
      </c>
      <c r="H21" s="19"/>
      <c r="I21" s="291"/>
    </row>
    <row r="22" spans="1:22" s="20" customFormat="1" ht="24" customHeight="1" thickTop="1" x14ac:dyDescent="0.3">
      <c r="A22" s="159" t="s">
        <v>651</v>
      </c>
      <c r="B22" s="162" t="s">
        <v>31</v>
      </c>
      <c r="C22" s="163"/>
      <c r="D22" s="163"/>
      <c r="E22" s="163"/>
      <c r="F22" s="163"/>
      <c r="G22" s="163"/>
      <c r="H22" s="19"/>
      <c r="I22" s="291"/>
    </row>
    <row r="23" spans="1:22" s="20" customFormat="1" ht="24" x14ac:dyDescent="0.3">
      <c r="A23" s="21" t="s">
        <v>652</v>
      </c>
      <c r="B23" s="22" t="s">
        <v>32</v>
      </c>
      <c r="C23" s="321"/>
      <c r="D23" s="321"/>
      <c r="E23" s="321"/>
      <c r="F23" s="321"/>
      <c r="G23" s="321"/>
      <c r="H23" s="19"/>
      <c r="I23" s="291"/>
    </row>
    <row r="24" spans="1:22" s="20" customFormat="1" ht="12" x14ac:dyDescent="0.3">
      <c r="A24" s="21" t="s">
        <v>653</v>
      </c>
      <c r="B24" s="22" t="s">
        <v>25</v>
      </c>
      <c r="C24" s="321"/>
      <c r="D24" s="321"/>
      <c r="E24" s="321"/>
      <c r="F24" s="321"/>
      <c r="G24" s="321"/>
      <c r="H24" s="19"/>
      <c r="I24" s="276" t="s">
        <v>409</v>
      </c>
    </row>
    <row r="25" spans="1:22" s="20" customFormat="1" ht="12" x14ac:dyDescent="0.3">
      <c r="A25" s="21" t="s">
        <v>654</v>
      </c>
      <c r="B25" s="329"/>
      <c r="C25" s="321"/>
      <c r="D25" s="321"/>
      <c r="E25" s="321"/>
      <c r="F25" s="321"/>
      <c r="G25" s="321"/>
      <c r="H25" s="19"/>
      <c r="I25" s="291"/>
      <c r="V25" s="23"/>
    </row>
    <row r="26" spans="1:22" s="20" customFormat="1" ht="12" x14ac:dyDescent="0.3">
      <c r="A26" s="21" t="s">
        <v>655</v>
      </c>
      <c r="B26" s="329"/>
      <c r="C26" s="321"/>
      <c r="D26" s="321"/>
      <c r="E26" s="321"/>
      <c r="F26" s="321"/>
      <c r="G26" s="321"/>
      <c r="H26" s="19"/>
      <c r="I26" s="291"/>
    </row>
    <row r="27" spans="1:22" s="20" customFormat="1" ht="12" x14ac:dyDescent="0.3">
      <c r="A27" s="21" t="s">
        <v>656</v>
      </c>
      <c r="B27" s="329"/>
      <c r="C27" s="321"/>
      <c r="D27" s="321"/>
      <c r="E27" s="321"/>
      <c r="F27" s="321"/>
      <c r="G27" s="321"/>
      <c r="H27" s="19"/>
      <c r="I27" s="291"/>
    </row>
    <row r="28" spans="1:22" s="20" customFormat="1" ht="12" x14ac:dyDescent="0.3">
      <c r="A28" s="21" t="s">
        <v>657</v>
      </c>
      <c r="B28" s="329"/>
      <c r="C28" s="321"/>
      <c r="D28" s="321"/>
      <c r="E28" s="321"/>
      <c r="F28" s="321"/>
      <c r="G28" s="321"/>
      <c r="H28" s="19"/>
      <c r="I28" s="291"/>
    </row>
    <row r="29" spans="1:22" s="20" customFormat="1" ht="24.6" customHeight="1" thickBot="1" x14ac:dyDescent="0.35">
      <c r="A29" s="109" t="s">
        <v>658</v>
      </c>
      <c r="B29" s="202" t="s">
        <v>33</v>
      </c>
      <c r="C29" s="373">
        <f>ROUND(SUM(C23:C28),0)</f>
        <v>0</v>
      </c>
      <c r="D29" s="373">
        <f t="shared" ref="D29:G29" si="2">ROUND(SUM(D23:D28),0)</f>
        <v>0</v>
      </c>
      <c r="E29" s="373">
        <f t="shared" si="2"/>
        <v>0</v>
      </c>
      <c r="F29" s="373">
        <f t="shared" si="2"/>
        <v>0</v>
      </c>
      <c r="G29" s="373">
        <f t="shared" si="2"/>
        <v>0</v>
      </c>
      <c r="H29" s="19"/>
      <c r="I29" s="291"/>
    </row>
    <row r="30" spans="1:22" ht="23.4" thickTop="1" x14ac:dyDescent="0.3">
      <c r="A30" s="159" t="s">
        <v>919</v>
      </c>
      <c r="B30" s="162" t="s">
        <v>924</v>
      </c>
      <c r="C30" s="163"/>
      <c r="D30" s="163"/>
      <c r="E30" s="163"/>
      <c r="F30" s="163"/>
      <c r="G30" s="163"/>
      <c r="I30" s="291"/>
    </row>
    <row r="31" spans="1:22" x14ac:dyDescent="0.3">
      <c r="A31" s="21" t="s">
        <v>920</v>
      </c>
      <c r="B31" s="13" t="s">
        <v>544</v>
      </c>
      <c r="C31" s="362">
        <f>'8'!D25+'8'!D35</f>
        <v>0</v>
      </c>
      <c r="D31" s="362">
        <f>'8'!E25+'8'!E35</f>
        <v>0</v>
      </c>
      <c r="E31" s="362">
        <f>'8'!F25+'8'!F35</f>
        <v>0</v>
      </c>
      <c r="F31" s="362">
        <f>'8'!G25+'8'!G35</f>
        <v>0</v>
      </c>
      <c r="G31" s="362">
        <f>'8'!H25+'8'!H35</f>
        <v>0</v>
      </c>
      <c r="I31" s="291"/>
    </row>
    <row r="32" spans="1:22" x14ac:dyDescent="0.3">
      <c r="A32" s="280" t="str">
        <f>IF(Parametrai!$C$9="Asociacijos ir viešosios įstaigos","7.5.","")</f>
        <v/>
      </c>
      <c r="B32" s="280" t="str">
        <f>IF(Parametrai!$C$9="Asociacijos ir viešosios įstaigos","Veiklos sąnaudos iš viso","")</f>
        <v/>
      </c>
      <c r="C32" s="281" t="str">
        <f>IF(Parametrai!$C$9="Asociacijos ir viešosios įstaigos",SUM(C21,C29,C31),"")</f>
        <v/>
      </c>
      <c r="D32" s="281" t="str">
        <f>IF(Parametrai!$C$9="Asociacijos ir viešosios įstaigos",SUM(D21,D29,D31),"")</f>
        <v/>
      </c>
      <c r="E32" s="281" t="str">
        <f>IF(Parametrai!$C$9="Asociacijos ir viešosios įstaigos",SUM(E21,E29,E31),"")</f>
        <v/>
      </c>
      <c r="F32" s="281" t="str">
        <f>IF(Parametrai!$C$9="Asociacijos ir viešosios įstaigos",SUM(F21,F29,F31),"")</f>
        <v/>
      </c>
      <c r="G32" s="281" t="str">
        <f>IF(Parametrai!$C$9="Asociacijos ir viešosios įstaigos",SUM(G21,G29,G31),"")</f>
        <v/>
      </c>
      <c r="I32" s="291"/>
    </row>
    <row r="33" spans="1:7" x14ac:dyDescent="0.3">
      <c r="A33" s="20"/>
      <c r="B33" s="20"/>
      <c r="C33" s="20"/>
      <c r="D33" s="20"/>
      <c r="E33" s="20"/>
      <c r="F33" s="20"/>
      <c r="G33" s="20"/>
    </row>
    <row r="34" spans="1:7" x14ac:dyDescent="0.3">
      <c r="C34" s="273"/>
    </row>
    <row r="35" spans="1:7" x14ac:dyDescent="0.3">
      <c r="C35" s="273"/>
    </row>
  </sheetData>
  <sheetProtection algorithmName="SHA-512" hashValue="25R8CxRIVFct1Pz+DzCuRsbWIfLKEkMAVcRBx38mnSeLPjqrVopc/uAsVyk7+fkypb0lmNLTVxH8lcfS+xoI9A==" saltValue="eS7VVNKjUSSXk+PhxvW3Mw==" spinCount="100000" sheet="1" objects="1" scenarios="1" formatRows="0"/>
  <mergeCells count="4">
    <mergeCell ref="B1:G1"/>
    <mergeCell ref="A3:A4"/>
    <mergeCell ref="B3:B4"/>
    <mergeCell ref="D3:G3"/>
  </mergeCells>
  <phoneticPr fontId="12" type="noConversion"/>
  <conditionalFormatting sqref="A32:G32">
    <cfRule type="expression" dxfId="52" priority="2">
      <formula>$A$32&lt;&gt;""</formula>
    </cfRule>
  </conditionalFormatting>
  <conditionalFormatting sqref="C4:G4">
    <cfRule type="expression" dxfId="51" priority="4">
      <formula>C4="-"</formula>
    </cfRule>
  </conditionalFormatting>
  <conditionalFormatting sqref="C6:G6">
    <cfRule type="cellIs" dxfId="50" priority="9" operator="lessThan">
      <formula>0</formula>
    </cfRule>
  </conditionalFormatting>
  <conditionalFormatting sqref="C12:G12">
    <cfRule type="cellIs" dxfId="49" priority="15" operator="lessThan">
      <formula>0</formula>
    </cfRule>
  </conditionalFormatting>
  <conditionalFormatting sqref="C13:G13">
    <cfRule type="expression" dxfId="48" priority="8">
      <formula>ABS(C$13)&gt;C$12</formula>
    </cfRule>
  </conditionalFormatting>
  <conditionalFormatting sqref="C31:G32">
    <cfRule type="cellIs" dxfId="47" priority="1" operator="lessThan">
      <formula>0</formula>
    </cfRule>
  </conditionalFormatting>
  <dataValidations count="3">
    <dataValidation type="whole" operator="lessThan" allowBlank="1" showInputMessage="1" showErrorMessage="1" error="įveskskite neigiamą skaičių" prompt="Įveskite neigiamą skaičių" sqref="D13:G13">
      <formula1>0</formula1>
    </dataValidation>
    <dataValidation type="whole" operator="lessThan" allowBlank="1" showInputMessage="1" showErrorMessage="1" error="Įveskite neigiamą skaičių" prompt="Įveskite neigiamą skaičių" sqref="C13">
      <formula1>0</formula1>
    </dataValidation>
    <dataValidation type="custom" operator="lessThan" allowBlank="1" showInputMessage="1" showErrorMessage="1" error="Įvedėte didesnę sumą nei yra nusidėvėjimo sąnaudų iš viso" sqref="C23:G23">
      <formula1>SUM(C12:C13)&gt;=0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C4:G4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1">
    <tabColor theme="9" tint="-0.249977111117893"/>
  </sheetPr>
  <dimension ref="A1:N41"/>
  <sheetViews>
    <sheetView topLeftCell="B1" zoomScale="130" zoomScaleNormal="130" workbookViewId="0">
      <selection activeCell="D15" sqref="D15"/>
    </sheetView>
  </sheetViews>
  <sheetFormatPr defaultColWidth="8.6640625" defaultRowHeight="13.8" x14ac:dyDescent="0.3"/>
  <cols>
    <col min="1" max="1" width="2.6640625" style="11" hidden="1" customWidth="1"/>
    <col min="2" max="2" width="6.44140625" style="11" customWidth="1"/>
    <col min="3" max="3" width="30.5546875" style="11" customWidth="1"/>
    <col min="4" max="10" width="10" style="11" customWidth="1"/>
    <col min="11" max="11" width="10.44140625" style="11" customWidth="1"/>
    <col min="12" max="12" width="10" style="11" customWidth="1"/>
    <col min="13" max="13" width="8.6640625" style="11"/>
    <col min="14" max="14" width="45.88671875" style="11" customWidth="1"/>
    <col min="15" max="16384" width="8.6640625" style="11"/>
  </cols>
  <sheetData>
    <row r="1" spans="1:14" s="7" customFormat="1" ht="14.25" customHeight="1" x14ac:dyDescent="0.3">
      <c r="B1" s="143" t="s">
        <v>36</v>
      </c>
      <c r="C1" s="496" t="s">
        <v>383</v>
      </c>
      <c r="D1" s="496"/>
      <c r="E1" s="496"/>
      <c r="F1" s="496"/>
      <c r="G1" s="496"/>
      <c r="H1" s="496"/>
      <c r="I1" s="496"/>
      <c r="J1" s="496"/>
      <c r="K1" s="496"/>
      <c r="L1" s="496"/>
      <c r="N1" s="299" t="s">
        <v>293</v>
      </c>
    </row>
    <row r="2" spans="1:14" s="3" customFormat="1" ht="12" customHeight="1" x14ac:dyDescent="0.3">
      <c r="N2" s="291"/>
    </row>
    <row r="3" spans="1:14" s="3" customFormat="1" x14ac:dyDescent="0.3">
      <c r="B3" s="229" t="s">
        <v>914</v>
      </c>
      <c r="C3" s="230" t="s">
        <v>382</v>
      </c>
      <c r="D3" s="230"/>
      <c r="E3" s="230"/>
      <c r="F3" s="231"/>
      <c r="G3" s="231"/>
      <c r="H3" s="231"/>
      <c r="I3" s="231"/>
      <c r="J3" s="231"/>
      <c r="K3" s="231"/>
      <c r="L3" s="232"/>
      <c r="N3" s="276" t="s">
        <v>967</v>
      </c>
    </row>
    <row r="4" spans="1:14" s="3" customFormat="1" x14ac:dyDescent="0.3">
      <c r="A4" s="233"/>
      <c r="B4" s="507" t="s">
        <v>35</v>
      </c>
      <c r="C4" s="509" t="s">
        <v>75</v>
      </c>
      <c r="D4" s="509"/>
      <c r="E4" s="511" t="s">
        <v>388</v>
      </c>
      <c r="F4" s="512"/>
      <c r="G4" s="513"/>
      <c r="H4" s="509" t="s">
        <v>389</v>
      </c>
      <c r="I4" s="497" t="s">
        <v>390</v>
      </c>
      <c r="J4" s="497" t="s">
        <v>391</v>
      </c>
      <c r="K4" s="497" t="s">
        <v>76</v>
      </c>
      <c r="L4" s="165" t="s">
        <v>387</v>
      </c>
      <c r="N4" s="291"/>
    </row>
    <row r="5" spans="1:14" s="3" customFormat="1" ht="14.4" thickBot="1" x14ac:dyDescent="0.35">
      <c r="A5" s="234"/>
      <c r="B5" s="508"/>
      <c r="C5" s="510"/>
      <c r="D5" s="510"/>
      <c r="E5" s="514"/>
      <c r="F5" s="515"/>
      <c r="G5" s="516"/>
      <c r="H5" s="510"/>
      <c r="I5" s="498"/>
      <c r="J5" s="498"/>
      <c r="K5" s="498"/>
      <c r="L5" s="377">
        <f>DATE(D15,12,31)</f>
        <v>693962</v>
      </c>
      <c r="N5" s="291"/>
    </row>
    <row r="6" spans="1:14" s="3" customFormat="1" ht="14.4" thickTop="1" x14ac:dyDescent="0.3">
      <c r="B6" s="33" t="s">
        <v>377</v>
      </c>
      <c r="C6" s="499"/>
      <c r="D6" s="499"/>
      <c r="E6" s="504"/>
      <c r="F6" s="505"/>
      <c r="G6" s="506"/>
      <c r="H6" s="333"/>
      <c r="I6" s="333"/>
      <c r="J6" s="334"/>
      <c r="K6" s="335"/>
      <c r="L6" s="334"/>
      <c r="N6" s="291"/>
    </row>
    <row r="7" spans="1:14" s="3" customFormat="1" x14ac:dyDescent="0.3">
      <c r="B7" s="34" t="s">
        <v>378</v>
      </c>
      <c r="C7" s="500"/>
      <c r="D7" s="500"/>
      <c r="E7" s="501"/>
      <c r="F7" s="502"/>
      <c r="G7" s="503"/>
      <c r="H7" s="336"/>
      <c r="I7" s="336"/>
      <c r="J7" s="337"/>
      <c r="K7" s="324"/>
      <c r="L7" s="338"/>
      <c r="N7" s="291"/>
    </row>
    <row r="8" spans="1:14" s="3" customFormat="1" x14ac:dyDescent="0.3">
      <c r="B8" s="34" t="s">
        <v>379</v>
      </c>
      <c r="C8" s="500"/>
      <c r="D8" s="500"/>
      <c r="E8" s="501"/>
      <c r="F8" s="502"/>
      <c r="G8" s="503"/>
      <c r="H8" s="336"/>
      <c r="I8" s="336"/>
      <c r="J8" s="337"/>
      <c r="K8" s="324"/>
      <c r="L8" s="338"/>
      <c r="N8" s="291"/>
    </row>
    <row r="9" spans="1:14" s="3" customFormat="1" x14ac:dyDescent="0.3">
      <c r="B9" s="34" t="s">
        <v>380</v>
      </c>
      <c r="C9" s="500"/>
      <c r="D9" s="500"/>
      <c r="E9" s="501"/>
      <c r="F9" s="502"/>
      <c r="G9" s="503"/>
      <c r="H9" s="336"/>
      <c r="I9" s="336"/>
      <c r="J9" s="337"/>
      <c r="K9" s="324"/>
      <c r="L9" s="338"/>
      <c r="N9" s="291"/>
    </row>
    <row r="10" spans="1:14" s="3" customFormat="1" ht="15" customHeight="1" thickBot="1" x14ac:dyDescent="0.35">
      <c r="A10" s="111"/>
      <c r="B10" s="110" t="s">
        <v>381</v>
      </c>
      <c r="C10" s="519"/>
      <c r="D10" s="519"/>
      <c r="E10" s="520"/>
      <c r="F10" s="521"/>
      <c r="G10" s="522"/>
      <c r="H10" s="339"/>
      <c r="I10" s="339"/>
      <c r="J10" s="340"/>
      <c r="K10" s="341"/>
      <c r="L10" s="342"/>
      <c r="N10" s="291"/>
    </row>
    <row r="11" spans="1:14" s="3" customFormat="1" ht="15.6" customHeight="1" thickTop="1" thickBot="1" x14ac:dyDescent="0.35">
      <c r="A11" s="111"/>
      <c r="B11" s="523" t="s">
        <v>37</v>
      </c>
      <c r="C11" s="524"/>
      <c r="D11" s="524"/>
      <c r="E11" s="166"/>
      <c r="F11" s="166"/>
      <c r="G11" s="166"/>
      <c r="H11" s="166"/>
      <c r="I11" s="166"/>
      <c r="J11" s="166"/>
      <c r="K11" s="166"/>
      <c r="L11" s="378">
        <f>SUM(L6:L10)</f>
        <v>0</v>
      </c>
      <c r="M11" s="35"/>
      <c r="N11" s="276" t="str">
        <f>IF(L11&lt;&gt;D23+D33,"Klaida! Nesutampa paskolų ir lizingo įsipareigojimų likučiai 8.1. lentelėje su likučių suma 8.2. ir 8.3. lentelėse","ok")</f>
        <v>ok</v>
      </c>
    </row>
    <row r="12" spans="1:14" s="3" customFormat="1" ht="14.4" thickTop="1" x14ac:dyDescent="0.3">
      <c r="N12" s="291"/>
    </row>
    <row r="13" spans="1:14" s="7" customFormat="1" x14ac:dyDescent="0.3">
      <c r="A13" s="120"/>
      <c r="B13" s="167" t="s">
        <v>915</v>
      </c>
      <c r="C13" s="168" t="s">
        <v>384</v>
      </c>
      <c r="D13" s="168"/>
      <c r="E13" s="168"/>
      <c r="F13" s="168"/>
      <c r="G13" s="168"/>
      <c r="H13" s="168"/>
      <c r="J13" s="276" t="s">
        <v>397</v>
      </c>
    </row>
    <row r="14" spans="1:14" ht="22.8" x14ac:dyDescent="0.3">
      <c r="A14" s="225"/>
      <c r="B14" s="517" t="s">
        <v>35</v>
      </c>
      <c r="C14" s="517" t="s">
        <v>77</v>
      </c>
      <c r="D14" s="135" t="str">
        <f>IF(AND('1'!$C$22="Verslo pradžia",YEAR('1'!$E$22)=YEAR('1'!$C$11)),"Pradžios metai","Ataskaitiniai metai")</f>
        <v>Ataskaitiniai metai</v>
      </c>
      <c r="E14" s="463" t="s">
        <v>12</v>
      </c>
      <c r="F14" s="464"/>
      <c r="G14" s="464"/>
      <c r="H14" s="464"/>
      <c r="J14" s="291"/>
    </row>
    <row r="15" spans="1:14" ht="14.4" thickBot="1" x14ac:dyDescent="0.35">
      <c r="A15" s="226"/>
      <c r="B15" s="518"/>
      <c r="C15" s="518"/>
      <c r="D15" s="358">
        <f>IF(D14="Pradžios metai",YEAR('1'!$E$22),IF((YEAR('1'!$C$11)-1)+COUNT($C15:C15)&gt;YEAR('1'!$C$18)+Parametrai!$C$15,"-",(YEAR('1'!$C$11)-1)+COUNT($C15:C15)))</f>
        <v>1899</v>
      </c>
      <c r="E15" s="358">
        <f>IF(E14="Pradžios metai",YEAR('1'!$E$22),IF((YEAR('1'!$C$11)-1)+COUNT($C15:D15)&gt;YEAR('1'!$C$18)+Parametrai!$C$15,"-",(YEAR('1'!$C$11)-1)+COUNT($C15:D15)))</f>
        <v>1900</v>
      </c>
      <c r="F15" s="358">
        <f>IF(F14="Pradžios metai",YEAR('1'!$E$22),IF((YEAR('1'!$C$11)-1)+COUNT($C15:E15)&gt;YEAR('1'!$C$18)+Parametrai!$C$15,"-",(YEAR('1'!$C$11)-1)+COUNT($C15:E15)))</f>
        <v>1901</v>
      </c>
      <c r="G15" s="358">
        <f>IF(G14="Pradžios metai",YEAR('1'!$E$22),IF((YEAR('1'!$C$11)-1)+COUNT($C15:F15)&gt;YEAR('1'!$C$18)+Parametrai!$C$15,"-",(YEAR('1'!$C$11)-1)+COUNT($C15:F15)))</f>
        <v>1902</v>
      </c>
      <c r="H15" s="358">
        <f>IF(H14="Pradžios metai",YEAR('1'!$E$22),IF((YEAR('1'!$C$11)-1)+COUNT($C15:G15)&gt;YEAR('1'!$C$18)+Parametrai!$C$15,"-",(YEAR('1'!$C$11)-1)+COUNT($C15:G15)))</f>
        <v>1903</v>
      </c>
      <c r="J15" s="291"/>
    </row>
    <row r="16" spans="1:14" ht="14.4" thickTop="1" x14ac:dyDescent="0.3">
      <c r="B16" s="50" t="s">
        <v>905</v>
      </c>
      <c r="C16" s="51" t="s">
        <v>78</v>
      </c>
      <c r="D16" s="374">
        <f>+D17+D18</f>
        <v>0</v>
      </c>
      <c r="E16" s="374">
        <f>D23</f>
        <v>0</v>
      </c>
      <c r="F16" s="374">
        <f t="shared" ref="F16:H16" si="0">+E23</f>
        <v>0</v>
      </c>
      <c r="G16" s="374">
        <f t="shared" si="0"/>
        <v>0</v>
      </c>
      <c r="H16" s="374">
        <f t="shared" si="0"/>
        <v>0</v>
      </c>
      <c r="J16" s="291"/>
    </row>
    <row r="17" spans="1:14" ht="17.25" customHeight="1" x14ac:dyDescent="0.3">
      <c r="B17" s="21" t="s">
        <v>906</v>
      </c>
      <c r="C17" s="13" t="s">
        <v>79</v>
      </c>
      <c r="D17" s="343"/>
      <c r="E17" s="375">
        <f>+D17+D19-D21</f>
        <v>0</v>
      </c>
      <c r="F17" s="375">
        <f t="shared" ref="F17:H18" si="1">+E17+E19-E21</f>
        <v>0</v>
      </c>
      <c r="G17" s="375">
        <f t="shared" si="1"/>
        <v>0</v>
      </c>
      <c r="H17" s="375">
        <f t="shared" si="1"/>
        <v>0</v>
      </c>
      <c r="J17" s="493" t="s">
        <v>966</v>
      </c>
      <c r="K17" s="493"/>
      <c r="L17" s="493"/>
      <c r="M17" s="493"/>
      <c r="N17" s="493"/>
    </row>
    <row r="18" spans="1:14" ht="17.25" customHeight="1" x14ac:dyDescent="0.3">
      <c r="B18" s="21" t="s">
        <v>907</v>
      </c>
      <c r="C18" s="21" t="s">
        <v>80</v>
      </c>
      <c r="D18" s="343"/>
      <c r="E18" s="375">
        <f>+D18-D22+D20</f>
        <v>0</v>
      </c>
      <c r="F18" s="375">
        <f t="shared" si="1"/>
        <v>0</v>
      </c>
      <c r="G18" s="375">
        <f t="shared" si="1"/>
        <v>0</v>
      </c>
      <c r="H18" s="375">
        <f t="shared" si="1"/>
        <v>0</v>
      </c>
      <c r="J18" s="493" t="s">
        <v>965</v>
      </c>
      <c r="K18" s="493"/>
      <c r="L18" s="493"/>
      <c r="M18" s="493"/>
      <c r="N18" s="493"/>
    </row>
    <row r="19" spans="1:14" x14ac:dyDescent="0.3">
      <c r="B19" s="21" t="s">
        <v>908</v>
      </c>
      <c r="C19" s="21" t="s">
        <v>385</v>
      </c>
      <c r="D19" s="343"/>
      <c r="E19" s="343"/>
      <c r="F19" s="343"/>
      <c r="G19" s="343"/>
      <c r="H19" s="343"/>
      <c r="J19" s="291"/>
    </row>
    <row r="20" spans="1:14" x14ac:dyDescent="0.3">
      <c r="B20" s="21" t="s">
        <v>909</v>
      </c>
      <c r="C20" s="21" t="s">
        <v>81</v>
      </c>
      <c r="D20" s="343"/>
      <c r="E20" s="343"/>
      <c r="F20" s="343"/>
      <c r="G20" s="343"/>
      <c r="H20" s="343"/>
      <c r="J20" s="291"/>
    </row>
    <row r="21" spans="1:14" x14ac:dyDescent="0.3">
      <c r="B21" s="21" t="s">
        <v>910</v>
      </c>
      <c r="C21" s="21" t="s">
        <v>386</v>
      </c>
      <c r="D21" s="343"/>
      <c r="E21" s="343"/>
      <c r="F21" s="343"/>
      <c r="G21" s="343"/>
      <c r="H21" s="343"/>
      <c r="J21" s="291"/>
    </row>
    <row r="22" spans="1:14" ht="14.4" thickBot="1" x14ac:dyDescent="0.35">
      <c r="A22" s="115"/>
      <c r="B22" s="109" t="s">
        <v>904</v>
      </c>
      <c r="C22" s="109" t="s">
        <v>82</v>
      </c>
      <c r="D22" s="344"/>
      <c r="E22" s="344"/>
      <c r="F22" s="344"/>
      <c r="G22" s="344"/>
      <c r="H22" s="344"/>
      <c r="J22" s="291"/>
    </row>
    <row r="23" spans="1:14" ht="15" thickTop="1" thickBot="1" x14ac:dyDescent="0.35">
      <c r="A23" s="115"/>
      <c r="B23" s="116" t="s">
        <v>903</v>
      </c>
      <c r="C23" s="116" t="s">
        <v>83</v>
      </c>
      <c r="D23" s="376">
        <f>+D16+D19+D20-D21-D22</f>
        <v>0</v>
      </c>
      <c r="E23" s="376">
        <f t="shared" ref="E23:H23" si="2">+E16+E19+E20-E21-E22</f>
        <v>0</v>
      </c>
      <c r="F23" s="376">
        <f t="shared" si="2"/>
        <v>0</v>
      </c>
      <c r="G23" s="376">
        <f t="shared" si="2"/>
        <v>0</v>
      </c>
      <c r="H23" s="376">
        <f t="shared" si="2"/>
        <v>0</v>
      </c>
      <c r="J23" s="291"/>
    </row>
    <row r="24" spans="1:14" ht="21.75" customHeight="1" thickTop="1" thickBot="1" x14ac:dyDescent="0.35">
      <c r="B24" s="129" t="s">
        <v>901</v>
      </c>
      <c r="C24" s="274" t="s">
        <v>911</v>
      </c>
      <c r="D24" s="345"/>
      <c r="E24" s="345"/>
      <c r="F24" s="345"/>
      <c r="G24" s="345"/>
      <c r="H24" s="345"/>
      <c r="J24" s="494" t="s">
        <v>964</v>
      </c>
      <c r="K24" s="494"/>
      <c r="L24" s="494"/>
      <c r="M24" s="494"/>
      <c r="N24" s="494"/>
    </row>
    <row r="25" spans="1:14" ht="14.4" thickTop="1" x14ac:dyDescent="0.3">
      <c r="A25" s="119"/>
      <c r="B25" s="121" t="s">
        <v>902</v>
      </c>
      <c r="C25" s="121" t="s">
        <v>84</v>
      </c>
      <c r="D25" s="346"/>
      <c r="E25" s="346"/>
      <c r="F25" s="346"/>
      <c r="G25" s="346"/>
      <c r="H25" s="346"/>
      <c r="J25" s="291"/>
    </row>
    <row r="26" spans="1:14" x14ac:dyDescent="0.3">
      <c r="N26" s="291"/>
    </row>
    <row r="27" spans="1:14" s="7" customFormat="1" ht="15" customHeight="1" x14ac:dyDescent="0.3">
      <c r="A27" s="120"/>
      <c r="B27" s="167" t="s">
        <v>916</v>
      </c>
      <c r="C27" s="164" t="s">
        <v>404</v>
      </c>
      <c r="D27" s="164"/>
      <c r="E27" s="164"/>
      <c r="F27" s="168"/>
      <c r="G27" s="168"/>
      <c r="H27" s="168"/>
      <c r="J27" s="276" t="s">
        <v>398</v>
      </c>
    </row>
    <row r="28" spans="1:14" ht="22.8" x14ac:dyDescent="0.3">
      <c r="A28" s="228"/>
      <c r="B28" s="517" t="s">
        <v>35</v>
      </c>
      <c r="C28" s="517" t="s">
        <v>77</v>
      </c>
      <c r="D28" s="135" t="str">
        <f>IF(AND('1'!$C$22="Verslo pradžia",YEAR('1'!$E$22)=YEAR('1'!$C$11)),"Pradžios metai","Ataskaitiniai metai")</f>
        <v>Ataskaitiniai metai</v>
      </c>
      <c r="E28" s="176" t="s">
        <v>12</v>
      </c>
      <c r="F28" s="410"/>
      <c r="G28" s="410"/>
      <c r="H28" s="410"/>
      <c r="J28" s="291"/>
    </row>
    <row r="29" spans="1:14" ht="14.4" thickBot="1" x14ac:dyDescent="0.35">
      <c r="A29" s="115"/>
      <c r="B29" s="518"/>
      <c r="C29" s="518"/>
      <c r="D29" s="358">
        <f>IF(D28="Pradžios metai",YEAR('1'!$E$22),IF((YEAR('1'!$C$11)-1)+COUNT($C29:C29)&gt;YEAR('1'!$C$18)+Parametrai!$C$15,"-",(YEAR('1'!$C$11)-1)+COUNT($C29:C29)))</f>
        <v>1899</v>
      </c>
      <c r="E29" s="358">
        <f>IF(E28="Pradžios metai",YEAR('1'!$E$22),IF((YEAR('1'!$C$11)-1)+COUNT($C29:D29)&gt;YEAR('1'!$C$18)+Parametrai!$C$15,"-",(YEAR('1'!$C$11)-1)+COUNT($C29:D29)))</f>
        <v>1900</v>
      </c>
      <c r="F29" s="358">
        <f>IF(F28="Pradžios metai",YEAR('1'!$E$22),IF((YEAR('1'!$C$11)-1)+COUNT($C29:E29)&gt;YEAR('1'!$C$18)+Parametrai!$C$15,"-",(YEAR('1'!$C$11)-1)+COUNT($C29:E29)))</f>
        <v>1901</v>
      </c>
      <c r="G29" s="358">
        <f>IF(G28="Pradžios metai",YEAR('1'!$E$22),IF((YEAR('1'!$C$11)-1)+COUNT($C29:F29)&gt;YEAR('1'!$C$18)+Parametrai!$C$15,"-",(YEAR('1'!$C$11)-1)+COUNT($C29:F29)))</f>
        <v>1902</v>
      </c>
      <c r="H29" s="358">
        <f>IF(H28="Pradžios metai",YEAR('1'!$E$22),IF((YEAR('1'!$C$11)-1)+COUNT($C29:G29)&gt;YEAR('1'!$C$18)+Parametrai!$C$15,"-",(YEAR('1'!$C$11)-1)+COUNT($C29:G29)))</f>
        <v>1903</v>
      </c>
      <c r="J29" s="291"/>
    </row>
    <row r="30" spans="1:14" ht="24.6" thickTop="1" x14ac:dyDescent="0.3">
      <c r="B30" s="227" t="s">
        <v>897</v>
      </c>
      <c r="C30" s="125" t="s">
        <v>85</v>
      </c>
      <c r="D30" s="347"/>
      <c r="E30" s="374">
        <f>+D33</f>
        <v>0</v>
      </c>
      <c r="F30" s="374">
        <f t="shared" ref="F30:H30" si="3">+E33</f>
        <v>0</v>
      </c>
      <c r="G30" s="374">
        <f t="shared" si="3"/>
        <v>0</v>
      </c>
      <c r="H30" s="374">
        <f t="shared" si="3"/>
        <v>0</v>
      </c>
      <c r="J30" s="291"/>
    </row>
    <row r="31" spans="1:14" x14ac:dyDescent="0.3">
      <c r="B31" s="27" t="s">
        <v>898</v>
      </c>
      <c r="C31" s="36" t="s">
        <v>854</v>
      </c>
      <c r="D31" s="343"/>
      <c r="E31" s="343"/>
      <c r="F31" s="343"/>
      <c r="G31" s="343"/>
      <c r="H31" s="343"/>
      <c r="J31" s="291"/>
    </row>
    <row r="32" spans="1:14" ht="14.4" thickBot="1" x14ac:dyDescent="0.35">
      <c r="A32" s="115"/>
      <c r="B32" s="122" t="s">
        <v>899</v>
      </c>
      <c r="C32" s="117" t="s">
        <v>86</v>
      </c>
      <c r="D32" s="344"/>
      <c r="E32" s="344"/>
      <c r="F32" s="344"/>
      <c r="G32" s="344"/>
      <c r="H32" s="344"/>
      <c r="J32" s="291"/>
    </row>
    <row r="33" spans="1:14" ht="25.2" thickTop="1" thickBot="1" x14ac:dyDescent="0.35">
      <c r="A33" s="115"/>
      <c r="B33" s="123" t="s">
        <v>900</v>
      </c>
      <c r="C33" s="118" t="s">
        <v>87</v>
      </c>
      <c r="D33" s="376">
        <f>+D30+D31-D32</f>
        <v>0</v>
      </c>
      <c r="E33" s="376">
        <f>+E30+E31-E32</f>
        <v>0</v>
      </c>
      <c r="F33" s="376">
        <f t="shared" ref="F33:H33" si="4">+F30+F31-F32</f>
        <v>0</v>
      </c>
      <c r="G33" s="376">
        <f t="shared" si="4"/>
        <v>0</v>
      </c>
      <c r="H33" s="376">
        <f t="shared" si="4"/>
        <v>0</v>
      </c>
      <c r="J33" s="291"/>
    </row>
    <row r="34" spans="1:14" ht="26.25" customHeight="1" thickTop="1" thickBot="1" x14ac:dyDescent="0.35">
      <c r="B34" s="129" t="s">
        <v>895</v>
      </c>
      <c r="C34" s="274" t="s">
        <v>912</v>
      </c>
      <c r="D34" s="345"/>
      <c r="E34" s="345"/>
      <c r="F34" s="345"/>
      <c r="G34" s="345"/>
      <c r="H34" s="345"/>
      <c r="J34" s="495" t="s">
        <v>963</v>
      </c>
      <c r="K34" s="495"/>
      <c r="L34" s="495"/>
      <c r="M34" s="495"/>
      <c r="N34" s="495"/>
    </row>
    <row r="35" spans="1:14" ht="14.25" customHeight="1" thickTop="1" x14ac:dyDescent="0.3">
      <c r="A35" s="119"/>
      <c r="B35" s="124" t="s">
        <v>896</v>
      </c>
      <c r="C35" s="214" t="s">
        <v>88</v>
      </c>
      <c r="D35" s="346"/>
      <c r="E35" s="346"/>
      <c r="F35" s="346"/>
      <c r="G35" s="346"/>
      <c r="H35" s="346"/>
      <c r="J35" s="291"/>
    </row>
    <row r="37" spans="1:14" x14ac:dyDescent="0.3">
      <c r="D37" s="260"/>
      <c r="E37" s="260"/>
    </row>
    <row r="38" spans="1:14" x14ac:dyDescent="0.3">
      <c r="D38" s="260"/>
    </row>
    <row r="41" spans="1:14" x14ac:dyDescent="0.3">
      <c r="D41" s="37"/>
      <c r="E41" s="37"/>
      <c r="F41" s="37"/>
      <c r="G41" s="37"/>
      <c r="H41" s="37"/>
      <c r="I41" s="37"/>
      <c r="J41" s="37"/>
      <c r="K41" s="37"/>
      <c r="L41" s="37"/>
    </row>
  </sheetData>
  <sheetProtection algorithmName="SHA-512" hashValue="ypvRpDX1YXwSma3f+2y3ZQnBSL1oBYoyZwegUhhbpO1q9mqSB5iw4bwImxXzA+uiX1P5DaMbhUIjpn05JMCgAQ==" saltValue="MQX71TB2xtPORpKRY7m0ww==" spinCount="100000" sheet="1" objects="1" scenarios="1" formatRows="0"/>
  <mergeCells count="28">
    <mergeCell ref="B28:B29"/>
    <mergeCell ref="C28:C29"/>
    <mergeCell ref="C10:D10"/>
    <mergeCell ref="E10:G10"/>
    <mergeCell ref="B11:D11"/>
    <mergeCell ref="B14:B15"/>
    <mergeCell ref="C14:C15"/>
    <mergeCell ref="E14:H14"/>
    <mergeCell ref="B4:B5"/>
    <mergeCell ref="C4:D5"/>
    <mergeCell ref="H4:H5"/>
    <mergeCell ref="I4:I5"/>
    <mergeCell ref="J4:J5"/>
    <mergeCell ref="E4:G5"/>
    <mergeCell ref="J17:N17"/>
    <mergeCell ref="J18:N18"/>
    <mergeCell ref="J24:N24"/>
    <mergeCell ref="J34:N34"/>
    <mergeCell ref="C1:L1"/>
    <mergeCell ref="K4:K5"/>
    <mergeCell ref="C6:D6"/>
    <mergeCell ref="C7:D7"/>
    <mergeCell ref="C8:D8"/>
    <mergeCell ref="C9:D9"/>
    <mergeCell ref="E9:G9"/>
    <mergeCell ref="E6:G6"/>
    <mergeCell ref="E7:G7"/>
    <mergeCell ref="E8:G8"/>
  </mergeCells>
  <phoneticPr fontId="12" type="noConversion"/>
  <conditionalFormatting sqref="D23 D33">
    <cfRule type="expression" dxfId="45" priority="66">
      <formula>($D$23+$D$33)&lt;&gt;$L$11</formula>
    </cfRule>
  </conditionalFormatting>
  <conditionalFormatting sqref="D15:H15">
    <cfRule type="expression" dxfId="44" priority="4">
      <formula>D15="-"</formula>
    </cfRule>
  </conditionalFormatting>
  <conditionalFormatting sqref="D29:H29">
    <cfRule type="expression" dxfId="43" priority="2">
      <formula>D29="-"</formula>
    </cfRule>
  </conditionalFormatting>
  <conditionalFormatting sqref="L11">
    <cfRule type="expression" dxfId="42" priority="110">
      <formula>$L$11&lt;&gt;$D$23+$D$33</formula>
    </cfRule>
  </conditionalFormatting>
  <conditionalFormatting sqref="N11">
    <cfRule type="expression" dxfId="41"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D15:H15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D29:H29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2">
    <tabColor theme="8" tint="-0.499984740745262"/>
  </sheetPr>
  <dimension ref="B1:L66"/>
  <sheetViews>
    <sheetView topLeftCell="B1" zoomScale="120" zoomScaleNormal="120" workbookViewId="0">
      <pane xSplit="2" ySplit="6" topLeftCell="D7" activePane="bottomRight" state="frozen"/>
      <selection activeCell="B14" sqref="B14:L14"/>
      <selection pane="topRight" activeCell="B14" sqref="B14:L14"/>
      <selection pane="bottomLeft" activeCell="B14" sqref="B14:L14"/>
      <selection pane="bottomRight" activeCell="D8" sqref="D8"/>
    </sheetView>
  </sheetViews>
  <sheetFormatPr defaultColWidth="8.6640625" defaultRowHeight="13.8" x14ac:dyDescent="0.3"/>
  <cols>
    <col min="1" max="1" width="0" style="3" hidden="1" customWidth="1"/>
    <col min="2" max="2" width="6.33203125" style="3" customWidth="1"/>
    <col min="3" max="3" width="33.33203125" style="1" customWidth="1"/>
    <col min="4" max="8" width="10" style="3" customWidth="1"/>
    <col min="9" max="9" width="7" style="4" customWidth="1"/>
    <col min="10" max="10" width="43.44140625" style="3" customWidth="1"/>
    <col min="11" max="11" width="42.88671875" style="3" customWidth="1"/>
    <col min="12" max="16384" width="8.6640625" style="3"/>
  </cols>
  <sheetData>
    <row r="1" spans="2:11" x14ac:dyDescent="0.3">
      <c r="B1" s="144" t="s">
        <v>59</v>
      </c>
      <c r="C1" s="169" t="s">
        <v>89</v>
      </c>
      <c r="D1" s="144"/>
      <c r="E1" s="144"/>
      <c r="F1" s="144"/>
      <c r="G1" s="144"/>
      <c r="H1" s="144"/>
      <c r="J1" s="299" t="s">
        <v>293</v>
      </c>
    </row>
    <row r="2" spans="2:11" x14ac:dyDescent="0.3">
      <c r="C2" s="38" t="s">
        <v>90</v>
      </c>
      <c r="D2" s="39">
        <f>ROUND(D34-D66,0)</f>
        <v>0</v>
      </c>
      <c r="E2" s="39">
        <f t="shared" ref="E2:H2" si="0">ROUND(E34-E66,0)</f>
        <v>0</v>
      </c>
      <c r="F2" s="39">
        <f t="shared" si="0"/>
        <v>0</v>
      </c>
      <c r="G2" s="39">
        <f t="shared" si="0"/>
        <v>0</v>
      </c>
      <c r="H2" s="39">
        <f t="shared" si="0"/>
        <v>0</v>
      </c>
      <c r="J2" s="291" t="str">
        <f>IF((COUNTIFS(D2:H2,"&gt;3")+COUNTIFS(D2:H2,"&lt;-3"))&gt;0,"Patikrinkite duomenis, turtas iš viso nėra lygus nuosavybei ir įsipareigojimams iš viso","ok")</f>
        <v>ok</v>
      </c>
    </row>
    <row r="3" spans="2:11" s="2" customFormat="1" x14ac:dyDescent="0.3">
      <c r="B3" s="144" t="s">
        <v>392</v>
      </c>
      <c r="C3" s="271" t="s">
        <v>781</v>
      </c>
      <c r="D3" s="144"/>
      <c r="E3" s="144"/>
      <c r="F3" s="144"/>
      <c r="G3" s="144"/>
      <c r="H3" s="144"/>
      <c r="I3" s="40"/>
      <c r="J3" s="302"/>
    </row>
    <row r="4" spans="2:11" x14ac:dyDescent="0.3">
      <c r="J4" s="302"/>
    </row>
    <row r="5" spans="2:11" ht="22.8" x14ac:dyDescent="0.3">
      <c r="B5" s="525" t="s">
        <v>22</v>
      </c>
      <c r="C5" s="474" t="s">
        <v>44</v>
      </c>
      <c r="D5" s="135" t="str">
        <f>IF(AND('1'!$C$22="Verslo pradžia",YEAR('1'!$E$22)=YEAR('1'!$C$11)),"Pradžios metai","Ataskaitiniai metai")</f>
        <v>Ataskaitiniai metai</v>
      </c>
      <c r="E5" s="463" t="s">
        <v>12</v>
      </c>
      <c r="F5" s="464"/>
      <c r="G5" s="464"/>
      <c r="H5" s="464"/>
      <c r="I5" s="42"/>
      <c r="J5" s="302"/>
    </row>
    <row r="6" spans="2:11" ht="14.4" thickBot="1" x14ac:dyDescent="0.35">
      <c r="B6" s="526"/>
      <c r="C6" s="475"/>
      <c r="D6" s="358">
        <f>IF(D5="Pradžios metai",YEAR('1'!$E$22),IF((YEAR('1'!$C$11)-1)+COUNT($C6:C6)&gt;YEAR('1'!$C$18)+Parametrai!$C$15,"-",(YEAR('1'!$C$11)-1)+COUNT($C6:C6)))</f>
        <v>1899</v>
      </c>
      <c r="E6" s="358">
        <f>IF(E5="Pradžios metai",YEAR('1'!$E$22),IF((YEAR('1'!$C$11)-1)+COUNT($C6:D6)&gt;YEAR('1'!$C$18)+Parametrai!$C$15,"-",(YEAR('1'!$C$11)-1)+COUNT($C6:D6)))</f>
        <v>1900</v>
      </c>
      <c r="F6" s="358">
        <f>IF(F5="Pradžios metai",YEAR('1'!$E$22),IF((YEAR('1'!$C$11)-1)+COUNT($C6:E6)&gt;YEAR('1'!$C$18)+Parametrai!$C$15,"-",(YEAR('1'!$C$11)-1)+COUNT($C6:E6)))</f>
        <v>1901</v>
      </c>
      <c r="G6" s="358">
        <f>IF(G5="Pradžios metai",YEAR('1'!$E$22),IF((YEAR('1'!$C$11)-1)+COUNT($C6:F6)&gt;YEAR('1'!$C$18)+Parametrai!$C$15,"-",(YEAR('1'!$C$11)-1)+COUNT($C6:F6)))</f>
        <v>1902</v>
      </c>
      <c r="H6" s="358">
        <f>IF(H5="Pradžios metai",YEAR('1'!$E$22),IF((YEAR('1'!$C$11)-1)+COUNT($C6:G6)&gt;YEAR('1'!$C$18)+Parametrai!$C$15,"-",(YEAR('1'!$C$11)-1)+COUNT($C6:G6)))</f>
        <v>1903</v>
      </c>
      <c r="J6" s="302"/>
    </row>
    <row r="7" spans="2:11" ht="14.4" thickTop="1" x14ac:dyDescent="0.3">
      <c r="B7" s="170"/>
      <c r="C7" s="171" t="s">
        <v>92</v>
      </c>
      <c r="D7" s="172"/>
      <c r="E7" s="173"/>
      <c r="F7" s="173"/>
      <c r="G7" s="173"/>
      <c r="H7" s="173"/>
      <c r="J7" s="302"/>
    </row>
    <row r="8" spans="2:11" x14ac:dyDescent="0.3">
      <c r="B8" s="174" t="s">
        <v>93</v>
      </c>
      <c r="C8" s="152" t="s">
        <v>94</v>
      </c>
      <c r="D8" s="188">
        <f t="shared" ref="D8:H8" si="1">SUM(D9,D10,D18,D19)</f>
        <v>0</v>
      </c>
      <c r="E8" s="188">
        <f t="shared" si="1"/>
        <v>0</v>
      </c>
      <c r="F8" s="188">
        <f t="shared" si="1"/>
        <v>0</v>
      </c>
      <c r="G8" s="188">
        <f t="shared" si="1"/>
        <v>0</v>
      </c>
      <c r="H8" s="188">
        <f t="shared" si="1"/>
        <v>0</v>
      </c>
      <c r="I8" s="43"/>
      <c r="J8" s="302"/>
    </row>
    <row r="9" spans="2:11" x14ac:dyDescent="0.3">
      <c r="B9" s="44" t="s">
        <v>535</v>
      </c>
      <c r="C9" s="18" t="s">
        <v>95</v>
      </c>
      <c r="D9" s="379">
        <f>'6'!D59</f>
        <v>0</v>
      </c>
      <c r="E9" s="379">
        <f>'6'!E59</f>
        <v>0</v>
      </c>
      <c r="F9" s="379">
        <f>'6'!F59</f>
        <v>0</v>
      </c>
      <c r="G9" s="379">
        <f>'6'!G59</f>
        <v>0</v>
      </c>
      <c r="H9" s="379">
        <f>'6'!H59</f>
        <v>0</v>
      </c>
      <c r="I9" s="43"/>
      <c r="J9" s="302"/>
      <c r="K9" s="45"/>
    </row>
    <row r="10" spans="2:11" x14ac:dyDescent="0.3">
      <c r="B10" s="44" t="s">
        <v>536</v>
      </c>
      <c r="C10" s="18" t="s">
        <v>97</v>
      </c>
      <c r="D10" s="375">
        <f t="shared" ref="D10:H10" si="2">SUM(D11,D12:D17)</f>
        <v>0</v>
      </c>
      <c r="E10" s="375">
        <f t="shared" si="2"/>
        <v>0</v>
      </c>
      <c r="F10" s="375">
        <f t="shared" si="2"/>
        <v>0</v>
      </c>
      <c r="G10" s="375">
        <f t="shared" si="2"/>
        <v>0</v>
      </c>
      <c r="H10" s="375">
        <f t="shared" si="2"/>
        <v>0</v>
      </c>
      <c r="J10" s="302"/>
    </row>
    <row r="11" spans="2:11" x14ac:dyDescent="0.3">
      <c r="B11" s="44" t="s">
        <v>715</v>
      </c>
      <c r="C11" s="18" t="s">
        <v>98</v>
      </c>
      <c r="D11" s="379">
        <f>+'6'!D9</f>
        <v>0</v>
      </c>
      <c r="E11" s="379">
        <f>+'6'!E9</f>
        <v>0</v>
      </c>
      <c r="F11" s="379">
        <f>+'6'!F9</f>
        <v>0</v>
      </c>
      <c r="G11" s="379">
        <f>+'6'!G9</f>
        <v>0</v>
      </c>
      <c r="H11" s="379">
        <f>+'6'!H9</f>
        <v>0</v>
      </c>
      <c r="I11" s="43"/>
      <c r="J11" s="302"/>
    </row>
    <row r="12" spans="2:11" x14ac:dyDescent="0.3">
      <c r="B12" s="44" t="s">
        <v>687</v>
      </c>
      <c r="C12" s="18" t="s">
        <v>39</v>
      </c>
      <c r="D12" s="379">
        <f>'6'!D19</f>
        <v>0</v>
      </c>
      <c r="E12" s="379">
        <f>'6'!E19</f>
        <v>0</v>
      </c>
      <c r="F12" s="379">
        <f>'6'!F19</f>
        <v>0</v>
      </c>
      <c r="G12" s="379">
        <f>'6'!G19</f>
        <v>0</v>
      </c>
      <c r="H12" s="379">
        <f>'6'!H19</f>
        <v>0</v>
      </c>
      <c r="J12" s="302"/>
    </row>
    <row r="13" spans="2:11" x14ac:dyDescent="0.3">
      <c r="B13" s="44" t="s">
        <v>716</v>
      </c>
      <c r="C13" s="18" t="s">
        <v>56</v>
      </c>
      <c r="D13" s="379">
        <f>'6'!D29</f>
        <v>0</v>
      </c>
      <c r="E13" s="379">
        <f>'6'!E29</f>
        <v>0</v>
      </c>
      <c r="F13" s="379">
        <f>'6'!F29</f>
        <v>0</v>
      </c>
      <c r="G13" s="379">
        <f>'6'!G29</f>
        <v>0</v>
      </c>
      <c r="H13" s="379">
        <f>'6'!H29</f>
        <v>0</v>
      </c>
      <c r="J13" s="302"/>
    </row>
    <row r="14" spans="2:11" x14ac:dyDescent="0.3">
      <c r="B14" s="44" t="s">
        <v>717</v>
      </c>
      <c r="C14" s="18" t="s">
        <v>40</v>
      </c>
      <c r="D14" s="379">
        <f>'6'!D39</f>
        <v>0</v>
      </c>
      <c r="E14" s="379">
        <f>'6'!E39</f>
        <v>0</v>
      </c>
      <c r="F14" s="379">
        <f>'6'!F39</f>
        <v>0</v>
      </c>
      <c r="G14" s="379">
        <f>'6'!G39</f>
        <v>0</v>
      </c>
      <c r="H14" s="379">
        <f>'6'!H39</f>
        <v>0</v>
      </c>
      <c r="J14" s="302"/>
    </row>
    <row r="15" spans="2:11" x14ac:dyDescent="0.3">
      <c r="B15" s="44" t="s">
        <v>718</v>
      </c>
      <c r="C15" s="18" t="s">
        <v>57</v>
      </c>
      <c r="D15" s="379">
        <f>'6'!D49</f>
        <v>0</v>
      </c>
      <c r="E15" s="379">
        <f>'6'!E49</f>
        <v>0</v>
      </c>
      <c r="F15" s="379">
        <f>'6'!F49</f>
        <v>0</v>
      </c>
      <c r="G15" s="379">
        <f>'6'!G49</f>
        <v>0</v>
      </c>
      <c r="H15" s="379">
        <f>'6'!H49</f>
        <v>0</v>
      </c>
      <c r="J15" s="302"/>
    </row>
    <row r="16" spans="2:11" x14ac:dyDescent="0.3">
      <c r="B16" s="44" t="s">
        <v>719</v>
      </c>
      <c r="C16" s="18" t="s">
        <v>99</v>
      </c>
      <c r="D16" s="338"/>
      <c r="E16" s="338"/>
      <c r="F16" s="338"/>
      <c r="G16" s="338"/>
      <c r="H16" s="338"/>
      <c r="J16" s="302" t="s">
        <v>541</v>
      </c>
    </row>
    <row r="17" spans="2:10" ht="24" x14ac:dyDescent="0.3">
      <c r="B17" s="44" t="s">
        <v>720</v>
      </c>
      <c r="C17" s="215" t="s">
        <v>417</v>
      </c>
      <c r="D17" s="112"/>
      <c r="E17" s="112"/>
      <c r="F17" s="112"/>
      <c r="G17" s="112"/>
      <c r="H17" s="112"/>
      <c r="J17" s="302" t="s">
        <v>970</v>
      </c>
    </row>
    <row r="18" spans="2:10" x14ac:dyDescent="0.3">
      <c r="B18" s="44" t="s">
        <v>537</v>
      </c>
      <c r="C18" s="18" t="s">
        <v>100</v>
      </c>
      <c r="D18" s="338"/>
      <c r="E18" s="338"/>
      <c r="F18" s="338"/>
      <c r="G18" s="338"/>
      <c r="H18" s="338"/>
      <c r="J18" s="302" t="s">
        <v>553</v>
      </c>
    </row>
    <row r="19" spans="2:10" x14ac:dyDescent="0.3">
      <c r="B19" s="44" t="s">
        <v>538</v>
      </c>
      <c r="C19" s="18" t="s">
        <v>102</v>
      </c>
      <c r="D19" s="338"/>
      <c r="E19" s="338"/>
      <c r="F19" s="338"/>
      <c r="G19" s="338"/>
      <c r="H19" s="338"/>
      <c r="J19" s="302" t="s">
        <v>917</v>
      </c>
    </row>
    <row r="20" spans="2:10" x14ac:dyDescent="0.3">
      <c r="B20" s="137" t="s">
        <v>104</v>
      </c>
      <c r="C20" s="138" t="s">
        <v>105</v>
      </c>
      <c r="D20" s="211">
        <f t="shared" ref="D20:H20" si="3">SUM(D21,D28,D31,D32)</f>
        <v>0</v>
      </c>
      <c r="E20" s="211">
        <f t="shared" si="3"/>
        <v>0</v>
      </c>
      <c r="F20" s="211">
        <f t="shared" si="3"/>
        <v>0</v>
      </c>
      <c r="G20" s="211">
        <f t="shared" si="3"/>
        <v>0</v>
      </c>
      <c r="H20" s="211">
        <f t="shared" si="3"/>
        <v>0</v>
      </c>
      <c r="J20" s="302"/>
    </row>
    <row r="21" spans="2:10" x14ac:dyDescent="0.3">
      <c r="B21" s="44" t="s">
        <v>688</v>
      </c>
      <c r="C21" s="18" t="s">
        <v>106</v>
      </c>
      <c r="D21" s="379">
        <f t="shared" ref="D21:H21" si="4">SUM(D22:D27)</f>
        <v>0</v>
      </c>
      <c r="E21" s="379">
        <f t="shared" si="4"/>
        <v>0</v>
      </c>
      <c r="F21" s="379">
        <f t="shared" si="4"/>
        <v>0</v>
      </c>
      <c r="G21" s="379">
        <f t="shared" si="4"/>
        <v>0</v>
      </c>
      <c r="H21" s="379">
        <f t="shared" si="4"/>
        <v>0</v>
      </c>
      <c r="J21" s="303"/>
    </row>
    <row r="22" spans="2:10" x14ac:dyDescent="0.3">
      <c r="B22" s="44" t="s">
        <v>689</v>
      </c>
      <c r="C22" s="18" t="s">
        <v>107</v>
      </c>
      <c r="D22" s="338"/>
      <c r="E22" s="338"/>
      <c r="F22" s="338"/>
      <c r="G22" s="338"/>
      <c r="H22" s="338"/>
      <c r="J22" s="302"/>
    </row>
    <row r="23" spans="2:10" x14ac:dyDescent="0.3">
      <c r="B23" s="44" t="s">
        <v>690</v>
      </c>
      <c r="C23" s="18" t="s">
        <v>108</v>
      </c>
      <c r="D23" s="338"/>
      <c r="E23" s="338"/>
      <c r="F23" s="338"/>
      <c r="G23" s="338"/>
      <c r="H23" s="338"/>
      <c r="J23" s="302"/>
    </row>
    <row r="24" spans="2:10" x14ac:dyDescent="0.3">
      <c r="B24" s="44" t="s">
        <v>691</v>
      </c>
      <c r="C24" s="18" t="s">
        <v>109</v>
      </c>
      <c r="D24" s="338"/>
      <c r="E24" s="338"/>
      <c r="F24" s="338"/>
      <c r="G24" s="338"/>
      <c r="H24" s="338"/>
      <c r="I24" s="42"/>
      <c r="J24" s="302"/>
    </row>
    <row r="25" spans="2:10" x14ac:dyDescent="0.3">
      <c r="B25" s="44" t="s">
        <v>692</v>
      </c>
      <c r="C25" s="18" t="s">
        <v>110</v>
      </c>
      <c r="D25" s="338"/>
      <c r="E25" s="338"/>
      <c r="F25" s="338"/>
      <c r="G25" s="338"/>
      <c r="H25" s="338"/>
      <c r="J25" s="302" t="s">
        <v>971</v>
      </c>
    </row>
    <row r="26" spans="2:10" x14ac:dyDescent="0.3">
      <c r="B26" s="44" t="s">
        <v>693</v>
      </c>
      <c r="C26" s="18" t="s">
        <v>103</v>
      </c>
      <c r="D26" s="338"/>
      <c r="E26" s="338"/>
      <c r="F26" s="338"/>
      <c r="G26" s="338"/>
      <c r="H26" s="338"/>
      <c r="I26" s="43"/>
      <c r="J26" s="302"/>
    </row>
    <row r="27" spans="2:10" x14ac:dyDescent="0.3">
      <c r="B27" s="44" t="s">
        <v>694</v>
      </c>
      <c r="C27" s="18" t="s">
        <v>96</v>
      </c>
      <c r="D27" s="338"/>
      <c r="E27" s="338"/>
      <c r="F27" s="338"/>
      <c r="G27" s="338"/>
      <c r="H27" s="338"/>
      <c r="J27" s="302"/>
    </row>
    <row r="28" spans="2:10" x14ac:dyDescent="0.3">
      <c r="B28" s="44" t="s">
        <v>695</v>
      </c>
      <c r="C28" s="18" t="s">
        <v>111</v>
      </c>
      <c r="D28" s="379">
        <f t="shared" ref="D28:H28" si="5">SUM(D29:D30)</f>
        <v>0</v>
      </c>
      <c r="E28" s="379">
        <f t="shared" si="5"/>
        <v>0</v>
      </c>
      <c r="F28" s="379">
        <f t="shared" si="5"/>
        <v>0</v>
      </c>
      <c r="G28" s="379">
        <f t="shared" si="5"/>
        <v>0</v>
      </c>
      <c r="H28" s="379">
        <f t="shared" si="5"/>
        <v>0</v>
      </c>
      <c r="J28" s="302"/>
    </row>
    <row r="29" spans="2:10" x14ac:dyDescent="0.3">
      <c r="B29" s="44" t="s">
        <v>696</v>
      </c>
      <c r="C29" s="18" t="s">
        <v>112</v>
      </c>
      <c r="D29" s="343"/>
      <c r="E29" s="338"/>
      <c r="F29" s="338"/>
      <c r="G29" s="338"/>
      <c r="H29" s="338"/>
      <c r="J29" s="302"/>
    </row>
    <row r="30" spans="2:10" x14ac:dyDescent="0.3">
      <c r="B30" s="44" t="s">
        <v>697</v>
      </c>
      <c r="C30" s="18" t="s">
        <v>113</v>
      </c>
      <c r="D30" s="343"/>
      <c r="E30" s="338"/>
      <c r="F30" s="338"/>
      <c r="G30" s="338"/>
      <c r="H30" s="338"/>
      <c r="J30" s="302"/>
    </row>
    <row r="31" spans="2:10" x14ac:dyDescent="0.3">
      <c r="B31" s="44" t="s">
        <v>698</v>
      </c>
      <c r="C31" s="18" t="s">
        <v>114</v>
      </c>
      <c r="D31" s="343"/>
      <c r="E31" s="338"/>
      <c r="F31" s="338"/>
      <c r="G31" s="338"/>
      <c r="H31" s="338"/>
      <c r="I31" s="43"/>
      <c r="J31" s="302"/>
    </row>
    <row r="32" spans="2:10" x14ac:dyDescent="0.3">
      <c r="B32" s="44" t="s">
        <v>699</v>
      </c>
      <c r="C32" s="18" t="s">
        <v>115</v>
      </c>
      <c r="D32" s="343"/>
      <c r="E32" s="375">
        <f>+'9.3'!E64</f>
        <v>0</v>
      </c>
      <c r="F32" s="375">
        <f>+'9.3'!F64</f>
        <v>0</v>
      </c>
      <c r="G32" s="375">
        <f>+'9.3'!G64</f>
        <v>0</v>
      </c>
      <c r="H32" s="375">
        <f>+'9.3'!H64</f>
        <v>0</v>
      </c>
      <c r="I32" s="43"/>
      <c r="J32" s="276" t="str">
        <f>IF(COUNTIFS(D32:H32,"&lt;0")&gt;0,"Klaida! Pinigų likutis negali būti neigiamas!","ok")</f>
        <v>ok</v>
      </c>
    </row>
    <row r="33" spans="2:10" ht="22.8" x14ac:dyDescent="0.3">
      <c r="B33" s="137" t="s">
        <v>116</v>
      </c>
      <c r="C33" s="138" t="s">
        <v>117</v>
      </c>
      <c r="D33" s="348"/>
      <c r="E33" s="349"/>
      <c r="F33" s="349"/>
      <c r="G33" s="349"/>
      <c r="H33" s="349"/>
      <c r="I33" s="43"/>
      <c r="J33" s="276" t="str">
        <f>IF(ABS(D32-'9.3'!D64)&gt;1,"Klaida! Ataskaitiniais metais pinigų likutis balanse ir pinigų srautų ataskaitoje nesutampa","ok")</f>
        <v>ok</v>
      </c>
    </row>
    <row r="34" spans="2:10" s="5" customFormat="1" ht="14.7" customHeight="1" thickBot="1" x14ac:dyDescent="0.35">
      <c r="B34" s="219"/>
      <c r="C34" s="219" t="s">
        <v>118</v>
      </c>
      <c r="D34" s="187">
        <f t="shared" ref="D34:H34" si="6">SUM(D8,D20,D33)</f>
        <v>0</v>
      </c>
      <c r="E34" s="187">
        <f t="shared" si="6"/>
        <v>0</v>
      </c>
      <c r="F34" s="187">
        <f t="shared" si="6"/>
        <v>0</v>
      </c>
      <c r="G34" s="187">
        <f t="shared" si="6"/>
        <v>0</v>
      </c>
      <c r="H34" s="187">
        <f t="shared" si="6"/>
        <v>0</v>
      </c>
      <c r="I34" s="43"/>
      <c r="J34" s="302"/>
    </row>
    <row r="35" spans="2:10" ht="14.4" thickTop="1" x14ac:dyDescent="0.3">
      <c r="B35" s="43"/>
      <c r="C35" s="43"/>
      <c r="D35" s="113"/>
      <c r="E35" s="113"/>
      <c r="F35" s="113"/>
      <c r="G35" s="113"/>
      <c r="H35" s="113"/>
      <c r="I35" s="43"/>
      <c r="J35" s="302"/>
    </row>
    <row r="36" spans="2:10" ht="22.8" x14ac:dyDescent="0.3">
      <c r="B36" s="176"/>
      <c r="C36" s="138" t="s">
        <v>119</v>
      </c>
      <c r="D36" s="177"/>
      <c r="E36" s="177"/>
      <c r="F36" s="177"/>
      <c r="G36" s="177"/>
      <c r="H36" s="177"/>
      <c r="I36" s="43"/>
      <c r="J36" s="302"/>
    </row>
    <row r="37" spans="2:10" x14ac:dyDescent="0.3">
      <c r="B37" s="137" t="s">
        <v>120</v>
      </c>
      <c r="C37" s="178" t="s">
        <v>121</v>
      </c>
      <c r="D37" s="213">
        <f>SUM(D38,D42:D45)</f>
        <v>0</v>
      </c>
      <c r="E37" s="213">
        <f t="shared" ref="E37:H37" si="7">SUM(E38,E42:E45)</f>
        <v>0</v>
      </c>
      <c r="F37" s="213">
        <f t="shared" si="7"/>
        <v>0</v>
      </c>
      <c r="G37" s="213">
        <f t="shared" si="7"/>
        <v>0</v>
      </c>
      <c r="H37" s="213">
        <f t="shared" si="7"/>
        <v>0</v>
      </c>
      <c r="I37" s="43"/>
      <c r="J37" s="302"/>
    </row>
    <row r="38" spans="2:10" x14ac:dyDescent="0.3">
      <c r="B38" s="44" t="s">
        <v>700</v>
      </c>
      <c r="C38" s="18" t="s">
        <v>122</v>
      </c>
      <c r="D38" s="379">
        <f>SUM(D39:D41)</f>
        <v>0</v>
      </c>
      <c r="E38" s="379">
        <f>SUM(E39:E41)</f>
        <v>0</v>
      </c>
      <c r="F38" s="379">
        <f t="shared" ref="F38:H38" si="8">SUM(F39:F41)</f>
        <v>0</v>
      </c>
      <c r="G38" s="379">
        <f t="shared" si="8"/>
        <v>0</v>
      </c>
      <c r="H38" s="379">
        <f t="shared" si="8"/>
        <v>0</v>
      </c>
      <c r="I38" s="43"/>
      <c r="J38" s="302"/>
    </row>
    <row r="39" spans="2:10" x14ac:dyDescent="0.3">
      <c r="B39" s="44" t="s">
        <v>701</v>
      </c>
      <c r="C39" s="18" t="s">
        <v>123</v>
      </c>
      <c r="D39" s="261">
        <f>+D34-D40-D41-D48-D45-D44-D50-D65-D42-D43-D49</f>
        <v>0</v>
      </c>
      <c r="E39" s="379">
        <f>+D39+'9.3'!E43+'9.3'!E45</f>
        <v>0</v>
      </c>
      <c r="F39" s="379">
        <f>+E39+'9.3'!F43+'9.3'!F45</f>
        <v>0</v>
      </c>
      <c r="G39" s="379">
        <f>+F39+'9.3'!G43+'9.3'!G45</f>
        <v>0</v>
      </c>
      <c r="H39" s="379">
        <f>+G39+'9.3'!H43+'9.3'!H45</f>
        <v>0</v>
      </c>
      <c r="I39" s="43"/>
      <c r="J39" s="302" t="s">
        <v>925</v>
      </c>
    </row>
    <row r="40" spans="2:10" x14ac:dyDescent="0.3">
      <c r="B40" s="44" t="s">
        <v>702</v>
      </c>
      <c r="C40" s="18" t="s">
        <v>124</v>
      </c>
      <c r="D40" s="338"/>
      <c r="E40" s="338"/>
      <c r="F40" s="338"/>
      <c r="G40" s="338"/>
      <c r="H40" s="338"/>
      <c r="J40" s="302" t="s">
        <v>553</v>
      </c>
    </row>
    <row r="41" spans="2:10" x14ac:dyDescent="0.3">
      <c r="B41" s="44" t="s">
        <v>703</v>
      </c>
      <c r="C41" s="18" t="s">
        <v>125</v>
      </c>
      <c r="D41" s="338"/>
      <c r="E41" s="338"/>
      <c r="F41" s="338"/>
      <c r="G41" s="338"/>
      <c r="H41" s="338"/>
      <c r="J41" s="302" t="s">
        <v>553</v>
      </c>
    </row>
    <row r="42" spans="2:10" x14ac:dyDescent="0.3">
      <c r="B42" s="44" t="s">
        <v>704</v>
      </c>
      <c r="C42" s="18" t="s">
        <v>126</v>
      </c>
      <c r="D42" s="338"/>
      <c r="E42" s="338"/>
      <c r="F42" s="338"/>
      <c r="G42" s="338"/>
      <c r="H42" s="338"/>
      <c r="J42" s="302" t="s">
        <v>553</v>
      </c>
    </row>
    <row r="43" spans="2:10" x14ac:dyDescent="0.3">
      <c r="B43" s="44" t="s">
        <v>705</v>
      </c>
      <c r="C43" s="18" t="s">
        <v>127</v>
      </c>
      <c r="D43" s="338"/>
      <c r="E43" s="338"/>
      <c r="F43" s="338"/>
      <c r="G43" s="338"/>
      <c r="H43" s="338"/>
      <c r="J43" s="302" t="s">
        <v>553</v>
      </c>
    </row>
    <row r="44" spans="2:10" x14ac:dyDescent="0.3">
      <c r="B44" s="44" t="s">
        <v>706</v>
      </c>
      <c r="C44" s="18" t="s">
        <v>128</v>
      </c>
      <c r="D44" s="338"/>
      <c r="E44" s="338"/>
      <c r="F44" s="338"/>
      <c r="G44" s="338"/>
      <c r="H44" s="338"/>
      <c r="J44" s="302" t="s">
        <v>553</v>
      </c>
    </row>
    <row r="45" spans="2:10" ht="24" x14ac:dyDescent="0.3">
      <c r="B45" s="44" t="s">
        <v>707</v>
      </c>
      <c r="C45" s="18" t="s">
        <v>129</v>
      </c>
      <c r="D45" s="375">
        <f>SUM(D46:D47)</f>
        <v>0</v>
      </c>
      <c r="E45" s="375">
        <f>SUM(E46:E47)</f>
        <v>0</v>
      </c>
      <c r="F45" s="375">
        <f t="shared" ref="F45:H45" si="9">SUM(F46:F47)</f>
        <v>0</v>
      </c>
      <c r="G45" s="375">
        <f t="shared" si="9"/>
        <v>0</v>
      </c>
      <c r="H45" s="375">
        <f t="shared" si="9"/>
        <v>0</v>
      </c>
      <c r="J45" s="302"/>
    </row>
    <row r="46" spans="2:10" x14ac:dyDescent="0.3">
      <c r="B46" s="44" t="s">
        <v>708</v>
      </c>
      <c r="C46" s="18" t="s">
        <v>130</v>
      </c>
      <c r="D46" s="261">
        <f>'9.2'!D24+'9.3'!D44</f>
        <v>0</v>
      </c>
      <c r="E46" s="375">
        <f>'9.2'!E24+'9.3'!E44</f>
        <v>0</v>
      </c>
      <c r="F46" s="375">
        <f>'9.2'!F24+'9.3'!F44</f>
        <v>0</v>
      </c>
      <c r="G46" s="375">
        <f>'9.2'!G24+'9.3'!G44</f>
        <v>0</v>
      </c>
      <c r="H46" s="375">
        <f>'9.2'!H24+'9.3'!H44</f>
        <v>0</v>
      </c>
      <c r="J46" s="302" t="s">
        <v>925</v>
      </c>
    </row>
    <row r="47" spans="2:10" x14ac:dyDescent="0.3">
      <c r="B47" s="44" t="s">
        <v>709</v>
      </c>
      <c r="C47" s="18" t="s">
        <v>131</v>
      </c>
      <c r="D47" s="338"/>
      <c r="E47" s="375">
        <f>D45</f>
        <v>0</v>
      </c>
      <c r="F47" s="375">
        <f>E45</f>
        <v>0</v>
      </c>
      <c r="G47" s="375">
        <f t="shared" ref="G47:H47" si="10">F45</f>
        <v>0</v>
      </c>
      <c r="H47" s="375">
        <f t="shared" si="10"/>
        <v>0</v>
      </c>
      <c r="J47" s="302"/>
    </row>
    <row r="48" spans="2:10" x14ac:dyDescent="0.3">
      <c r="B48" s="137" t="s">
        <v>132</v>
      </c>
      <c r="C48" s="138" t="s">
        <v>133</v>
      </c>
      <c r="D48" s="349"/>
      <c r="E48" s="210">
        <f>D48+'9.3'!E58+'7'!D13</f>
        <v>0</v>
      </c>
      <c r="F48" s="210">
        <f>E48+'9.3'!F58+'7'!E13</f>
        <v>0</v>
      </c>
      <c r="G48" s="210">
        <f>F48+'9.3'!G58+'7'!F13</f>
        <v>0</v>
      </c>
      <c r="H48" s="210">
        <f>G48+'9.3'!H58+'7'!G13</f>
        <v>0</v>
      </c>
      <c r="I48" s="43"/>
      <c r="J48" s="276" t="str">
        <f>IF(COUNTIFS(D48:H48,"&lt;0")&gt;1,"Klaida! Dotacijų likutis negali būti neigiamas!","ok")</f>
        <v>ok</v>
      </c>
    </row>
    <row r="49" spans="2:10" x14ac:dyDescent="0.3">
      <c r="B49" s="137" t="s">
        <v>134</v>
      </c>
      <c r="C49" s="138" t="s">
        <v>135</v>
      </c>
      <c r="D49" s="348"/>
      <c r="E49" s="348"/>
      <c r="F49" s="348"/>
      <c r="G49" s="348"/>
      <c r="H49" s="348"/>
      <c r="J49" s="302"/>
    </row>
    <row r="50" spans="2:10" ht="22.8" x14ac:dyDescent="0.3">
      <c r="B50" s="137" t="s">
        <v>136</v>
      </c>
      <c r="C50" s="138" t="s">
        <v>137</v>
      </c>
      <c r="D50" s="210">
        <f t="shared" ref="D50:H50" si="11">SUM(D51,D57)</f>
        <v>0</v>
      </c>
      <c r="E50" s="210">
        <f t="shared" si="11"/>
        <v>0</v>
      </c>
      <c r="F50" s="210">
        <f t="shared" si="11"/>
        <v>0</v>
      </c>
      <c r="G50" s="210">
        <f t="shared" si="11"/>
        <v>0</v>
      </c>
      <c r="H50" s="210">
        <f t="shared" si="11"/>
        <v>0</v>
      </c>
      <c r="J50" s="302"/>
    </row>
    <row r="51" spans="2:10" ht="24" x14ac:dyDescent="0.3">
      <c r="B51" s="44" t="s">
        <v>710</v>
      </c>
      <c r="C51" s="18" t="s">
        <v>968</v>
      </c>
      <c r="D51" s="375">
        <f>SUM(D52:D56)</f>
        <v>0</v>
      </c>
      <c r="E51" s="375">
        <f t="shared" ref="E51:H51" si="12">SUM(E52:E56)</f>
        <v>0</v>
      </c>
      <c r="F51" s="375">
        <f t="shared" si="12"/>
        <v>0</v>
      </c>
      <c r="G51" s="375">
        <f t="shared" si="12"/>
        <v>0</v>
      </c>
      <c r="H51" s="375">
        <f t="shared" si="12"/>
        <v>0</v>
      </c>
      <c r="I51" s="43"/>
      <c r="J51" s="302"/>
    </row>
    <row r="52" spans="2:10" x14ac:dyDescent="0.3">
      <c r="B52" s="44" t="s">
        <v>711</v>
      </c>
      <c r="C52" s="18" t="s">
        <v>138</v>
      </c>
      <c r="D52" s="375">
        <f>'8'!D33-D58</f>
        <v>0</v>
      </c>
      <c r="E52" s="375">
        <f>'8'!E33-E58</f>
        <v>0</v>
      </c>
      <c r="F52" s="375">
        <f>'8'!F33-F58</f>
        <v>0</v>
      </c>
      <c r="G52" s="375">
        <f>'8'!G33-G58</f>
        <v>0</v>
      </c>
      <c r="H52" s="375">
        <f>'8'!H33-H58</f>
        <v>0</v>
      </c>
      <c r="J52" s="302" t="s">
        <v>400</v>
      </c>
    </row>
    <row r="53" spans="2:10" x14ac:dyDescent="0.3">
      <c r="B53" s="44" t="s">
        <v>712</v>
      </c>
      <c r="C53" s="18" t="s">
        <v>139</v>
      </c>
      <c r="D53" s="261">
        <f>'8'!D17+'8'!D19-'8'!D21-'8'!D24</f>
        <v>0</v>
      </c>
      <c r="E53" s="375">
        <f>'8'!E17+'8'!E19-'8'!E21-'8'!E24</f>
        <v>0</v>
      </c>
      <c r="F53" s="375">
        <f>'8'!F17+'8'!F19-'8'!F21-'8'!F24</f>
        <v>0</v>
      </c>
      <c r="G53" s="375">
        <f>'8'!G17+'8'!G19-'8'!G21-'8'!G24</f>
        <v>0</v>
      </c>
      <c r="H53" s="375">
        <f>'8'!H17+'8'!H19-'8'!H21-'8'!H24</f>
        <v>0</v>
      </c>
      <c r="I53" s="43"/>
      <c r="J53" s="302" t="s">
        <v>410</v>
      </c>
    </row>
    <row r="54" spans="2:10" x14ac:dyDescent="0.3">
      <c r="B54" s="44" t="s">
        <v>713</v>
      </c>
      <c r="C54" s="18" t="s">
        <v>140</v>
      </c>
      <c r="D54" s="338"/>
      <c r="E54" s="338"/>
      <c r="F54" s="338"/>
      <c r="G54" s="338"/>
      <c r="H54" s="338"/>
      <c r="J54" s="302"/>
    </row>
    <row r="55" spans="2:10" x14ac:dyDescent="0.3">
      <c r="B55" s="44" t="s">
        <v>714</v>
      </c>
      <c r="C55" s="18" t="s">
        <v>141</v>
      </c>
      <c r="D55" s="338"/>
      <c r="E55" s="338"/>
      <c r="F55" s="338"/>
      <c r="G55" s="338"/>
      <c r="H55" s="338"/>
      <c r="J55" s="302"/>
    </row>
    <row r="56" spans="2:10" ht="24" x14ac:dyDescent="0.3">
      <c r="B56" s="44" t="s">
        <v>721</v>
      </c>
      <c r="C56" s="18" t="s">
        <v>142</v>
      </c>
      <c r="D56" s="338"/>
      <c r="E56" s="338"/>
      <c r="F56" s="338"/>
      <c r="G56" s="338"/>
      <c r="H56" s="338"/>
      <c r="I56" s="126"/>
      <c r="J56" s="302" t="s">
        <v>539</v>
      </c>
    </row>
    <row r="57" spans="2:10" ht="36" x14ac:dyDescent="0.3">
      <c r="B57" s="44" t="s">
        <v>722</v>
      </c>
      <c r="C57" s="18" t="s">
        <v>969</v>
      </c>
      <c r="D57" s="375">
        <f t="shared" ref="D57:H57" si="13">SUM(D58:D64)</f>
        <v>0</v>
      </c>
      <c r="E57" s="375">
        <f t="shared" si="13"/>
        <v>0</v>
      </c>
      <c r="F57" s="375">
        <f t="shared" si="13"/>
        <v>0</v>
      </c>
      <c r="G57" s="375">
        <f t="shared" si="13"/>
        <v>0</v>
      </c>
      <c r="H57" s="375">
        <f t="shared" si="13"/>
        <v>0</v>
      </c>
      <c r="J57" s="302"/>
    </row>
    <row r="58" spans="2:10" x14ac:dyDescent="0.3">
      <c r="B58" s="44" t="s">
        <v>723</v>
      </c>
      <c r="C58" s="18" t="s">
        <v>138</v>
      </c>
      <c r="D58" s="375">
        <f>'8'!D34</f>
        <v>0</v>
      </c>
      <c r="E58" s="375">
        <f>'8'!E34</f>
        <v>0</v>
      </c>
      <c r="F58" s="375">
        <f>'8'!F34</f>
        <v>0</v>
      </c>
      <c r="G58" s="375">
        <f>'8'!G34</f>
        <v>0</v>
      </c>
      <c r="H58" s="375">
        <f>'8'!H34</f>
        <v>0</v>
      </c>
      <c r="I58" s="46"/>
      <c r="J58" s="302" t="s">
        <v>972</v>
      </c>
    </row>
    <row r="59" spans="2:10" x14ac:dyDescent="0.3">
      <c r="B59" s="44" t="s">
        <v>724</v>
      </c>
      <c r="C59" s="18" t="s">
        <v>139</v>
      </c>
      <c r="D59" s="261">
        <f>'8'!D18+'8'!D20-'8'!D22+'8'!D24</f>
        <v>0</v>
      </c>
      <c r="E59" s="375">
        <f>'8'!E18+'8'!E20-'8'!E22+'8'!E24</f>
        <v>0</v>
      </c>
      <c r="F59" s="375">
        <f>'8'!F18+'8'!F20-'8'!F22+'8'!F24</f>
        <v>0</v>
      </c>
      <c r="G59" s="375">
        <f>'8'!G18+'8'!G20-'8'!G22+'8'!G24</f>
        <v>0</v>
      </c>
      <c r="H59" s="375">
        <f>'8'!H18+'8'!H20-'8'!H22+'8'!H24</f>
        <v>0</v>
      </c>
      <c r="I59" s="43"/>
      <c r="J59" s="302" t="s">
        <v>411</v>
      </c>
    </row>
    <row r="60" spans="2:10" x14ac:dyDescent="0.3">
      <c r="B60" s="44" t="s">
        <v>725</v>
      </c>
      <c r="C60" s="18" t="s">
        <v>140</v>
      </c>
      <c r="D60" s="343"/>
      <c r="E60" s="343"/>
      <c r="F60" s="343"/>
      <c r="G60" s="343"/>
      <c r="H60" s="343"/>
      <c r="J60" s="302"/>
    </row>
    <row r="61" spans="2:10" x14ac:dyDescent="0.3">
      <c r="B61" s="44" t="s">
        <v>726</v>
      </c>
      <c r="C61" s="18" t="s">
        <v>141</v>
      </c>
      <c r="D61" s="343"/>
      <c r="E61" s="343"/>
      <c r="F61" s="343"/>
      <c r="G61" s="343"/>
      <c r="H61" s="343"/>
      <c r="J61" s="302"/>
    </row>
    <row r="62" spans="2:10" x14ac:dyDescent="0.3">
      <c r="B62" s="44" t="s">
        <v>727</v>
      </c>
      <c r="C62" s="18" t="s">
        <v>143</v>
      </c>
      <c r="D62" s="343"/>
      <c r="E62" s="343"/>
      <c r="F62" s="343"/>
      <c r="G62" s="343"/>
      <c r="H62" s="343"/>
      <c r="J62" s="302"/>
    </row>
    <row r="63" spans="2:10" x14ac:dyDescent="0.3">
      <c r="B63" s="44" t="s">
        <v>728</v>
      </c>
      <c r="C63" s="18" t="s">
        <v>144</v>
      </c>
      <c r="D63" s="343"/>
      <c r="E63" s="343"/>
      <c r="F63" s="343"/>
      <c r="G63" s="343"/>
      <c r="H63" s="343"/>
      <c r="J63" s="302"/>
    </row>
    <row r="64" spans="2:10" ht="24" x14ac:dyDescent="0.3">
      <c r="B64" s="44" t="s">
        <v>729</v>
      </c>
      <c r="C64" s="18" t="s">
        <v>145</v>
      </c>
      <c r="D64" s="343"/>
      <c r="E64" s="343"/>
      <c r="F64" s="343"/>
      <c r="G64" s="343"/>
      <c r="H64" s="343"/>
      <c r="J64" s="302" t="s">
        <v>540</v>
      </c>
    </row>
    <row r="65" spans="2:12" ht="34.200000000000003" x14ac:dyDescent="0.3">
      <c r="B65" s="137" t="s">
        <v>146</v>
      </c>
      <c r="C65" s="138" t="s">
        <v>147</v>
      </c>
      <c r="D65" s="348"/>
      <c r="E65" s="348"/>
      <c r="F65" s="348"/>
      <c r="G65" s="348"/>
      <c r="H65" s="348"/>
      <c r="J65" s="303"/>
    </row>
    <row r="66" spans="2:12" s="48" customFormat="1" ht="23.25" customHeight="1" x14ac:dyDescent="0.3">
      <c r="B66" s="218"/>
      <c r="C66" s="218" t="s">
        <v>534</v>
      </c>
      <c r="D66" s="188">
        <f t="shared" ref="D66:H66" si="14">SUM(D37,D48,D49,D50,D65)</f>
        <v>0</v>
      </c>
      <c r="E66" s="188">
        <f t="shared" si="14"/>
        <v>0</v>
      </c>
      <c r="F66" s="188">
        <f t="shared" si="14"/>
        <v>0</v>
      </c>
      <c r="G66" s="188">
        <f t="shared" si="14"/>
        <v>0</v>
      </c>
      <c r="H66" s="188">
        <f t="shared" si="14"/>
        <v>0</v>
      </c>
      <c r="I66" s="47"/>
      <c r="J66" s="302"/>
      <c r="L66" s="3"/>
    </row>
  </sheetData>
  <sheetProtection algorithmName="SHA-512" hashValue="i+wk8doTIazorBxj7L9ABe8xBk+WopSd7rMQVjshol6CTYunduqdPxY5NK9fpgt7/JqEY46tdG8CCGYNXCFYtg==" saltValue="/F3NRJpSJTmbgYpfLkr4rA==" spinCount="100000" sheet="1" objects="1" scenarios="1" formatRows="0"/>
  <mergeCells count="3">
    <mergeCell ref="B5:B6"/>
    <mergeCell ref="C5:C6"/>
    <mergeCell ref="E5:H5"/>
  </mergeCells>
  <conditionalFormatting sqref="D39">
    <cfRule type="expression" dxfId="38" priority="5">
      <formula>ABS(D$13)&gt;D$12</formula>
    </cfRule>
  </conditionalFormatting>
  <conditionalFormatting sqref="D46">
    <cfRule type="expression" dxfId="37" priority="1">
      <formula>ABS(D$13)&gt;D$12</formula>
    </cfRule>
  </conditionalFormatting>
  <conditionalFormatting sqref="D53">
    <cfRule type="expression" dxfId="36" priority="4">
      <formula>ABS(D$13)&gt;D$12</formula>
    </cfRule>
  </conditionalFormatting>
  <conditionalFormatting sqref="D59">
    <cfRule type="expression" dxfId="35" priority="3">
      <formula>ABS(D$13)&gt;D$12</formula>
    </cfRule>
  </conditionalFormatting>
  <conditionalFormatting sqref="D2:H2">
    <cfRule type="cellIs" dxfId="34" priority="16" operator="between">
      <formula>0.0001</formula>
      <formula>3</formula>
    </cfRule>
    <cfRule type="cellIs" dxfId="33" priority="17" operator="between">
      <formula>-3</formula>
      <formula>-0.0001</formula>
    </cfRule>
    <cfRule type="cellIs" dxfId="32" priority="18" operator="lessThan">
      <formula>-3</formula>
    </cfRule>
    <cfRule type="cellIs" dxfId="31" priority="19" operator="greaterThan">
      <formula>3</formula>
    </cfRule>
  </conditionalFormatting>
  <conditionalFormatting sqref="D6:H6">
    <cfRule type="expression" dxfId="30" priority="9">
      <formula>D6="-"</formula>
    </cfRule>
  </conditionalFormatting>
  <conditionalFormatting sqref="E32:H32">
    <cfRule type="expression" dxfId="29" priority="6">
      <formula>E$32&lt;0</formula>
    </cfRule>
  </conditionalFormatting>
  <conditionalFormatting sqref="E48:H48">
    <cfRule type="expression" dxfId="28" priority="11">
      <formula>E48&lt;0</formula>
    </cfRule>
  </conditionalFormatting>
  <conditionalFormatting sqref="J2">
    <cfRule type="expression" dxfId="27" priority="12">
      <formula>ISNUMBER(SEARCH("Klaida", J2))</formula>
    </cfRule>
  </conditionalFormatting>
  <conditionalFormatting sqref="J32:J33">
    <cfRule type="expression" dxfId="26" priority="2">
      <formula>ISNUMBER(SEARCH("Klaida", J32))</formula>
    </cfRule>
  </conditionalFormatting>
  <conditionalFormatting sqref="J48">
    <cfRule type="expression" dxfId="25" priority="8">
      <formula>ISNUMBER(SEARCH("Klaida", J48))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D6:H6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3">
    <tabColor theme="8" tint="-0.499984740745262"/>
  </sheetPr>
  <dimension ref="B1:J30"/>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G7" sqref="G7"/>
    </sheetView>
  </sheetViews>
  <sheetFormatPr defaultColWidth="8.6640625" defaultRowHeight="13.8" x14ac:dyDescent="0.3"/>
  <cols>
    <col min="1" max="1" width="0" style="3" hidden="1" customWidth="1"/>
    <col min="2" max="2" width="5.88671875" style="3" customWidth="1"/>
    <col min="3" max="3" width="32.44140625" style="1" customWidth="1"/>
    <col min="4" max="8" width="10" style="3" customWidth="1"/>
    <col min="9" max="9" width="4.5546875" style="49" customWidth="1"/>
    <col min="10" max="10" width="44.109375" style="3" customWidth="1"/>
    <col min="11" max="16384" width="8.6640625" style="3"/>
  </cols>
  <sheetData>
    <row r="1" spans="2:10" x14ac:dyDescent="0.3">
      <c r="B1" s="144" t="s">
        <v>59</v>
      </c>
      <c r="C1" s="169" t="s">
        <v>89</v>
      </c>
      <c r="D1" s="144"/>
      <c r="E1" s="144"/>
      <c r="F1" s="144"/>
      <c r="G1" s="144"/>
      <c r="H1" s="144"/>
      <c r="J1" s="299" t="s">
        <v>293</v>
      </c>
    </row>
    <row r="2" spans="2:10" x14ac:dyDescent="0.3">
      <c r="C2" s="38" t="s">
        <v>90</v>
      </c>
      <c r="D2" s="39">
        <f>+'9.1'!D2</f>
        <v>0</v>
      </c>
      <c r="E2" s="39">
        <f>+'9.1'!E2</f>
        <v>0</v>
      </c>
      <c r="F2" s="39">
        <f>+'9.1'!F2</f>
        <v>0</v>
      </c>
      <c r="G2" s="39">
        <f>+'9.1'!G2</f>
        <v>0</v>
      </c>
      <c r="H2" s="39">
        <f>+'9.1'!H2</f>
        <v>0</v>
      </c>
      <c r="J2" s="277" t="str">
        <f>IF((COUNTIFS(D2:H2,"&gt;3")+COUNTIFS(D2:H2,"&lt;-3"))&gt;0,"Patikrinkite duomenis, turtas iš viso nėra lygus nuosavybei ir įsipareigojimams iš viso","ok")</f>
        <v>ok</v>
      </c>
    </row>
    <row r="3" spans="2:10" x14ac:dyDescent="0.3">
      <c r="B3" s="144" t="s">
        <v>393</v>
      </c>
      <c r="C3" s="271" t="s">
        <v>782</v>
      </c>
      <c r="D3" s="144"/>
      <c r="E3" s="144"/>
      <c r="F3" s="144"/>
      <c r="G3" s="144"/>
      <c r="H3" s="144"/>
      <c r="I3" s="40"/>
      <c r="J3" s="302"/>
    </row>
    <row r="4" spans="2:10" x14ac:dyDescent="0.3">
      <c r="J4" s="302"/>
    </row>
    <row r="5" spans="2:10" ht="22.8" x14ac:dyDescent="0.3">
      <c r="B5" s="525" t="s">
        <v>22</v>
      </c>
      <c r="C5" s="474" t="s">
        <v>44</v>
      </c>
      <c r="D5" s="135" t="str">
        <f>IF(AND('1'!$C$22="Verslo pradžia",YEAR('1'!$E$22)=YEAR('1'!$C$11)),"Pradžios metai","Ataskaitiniai metai")</f>
        <v>Ataskaitiniai metai</v>
      </c>
      <c r="E5" s="463" t="s">
        <v>12</v>
      </c>
      <c r="F5" s="464"/>
      <c r="G5" s="464"/>
      <c r="H5" s="464"/>
      <c r="J5" s="302"/>
    </row>
    <row r="6" spans="2:10" ht="14.4" thickBot="1" x14ac:dyDescent="0.35">
      <c r="B6" s="526"/>
      <c r="C6" s="475"/>
      <c r="D6" s="56">
        <f>IF(D5="Pradžios metai",YEAR('1'!$E$22),IF((YEAR('1'!$C$11)-1)+COUNT($C6:C6)&gt;YEAR('1'!$C$18)+Parametrai!$C$15,"-",(YEAR('1'!$C$11)-1)+COUNT($C6:C6)))</f>
        <v>1899</v>
      </c>
      <c r="E6" s="358">
        <f>IF(E5="Pradžios metai",YEAR('1'!$E$22),IF((YEAR('1'!$C$11)-1)+COUNT($C6:D6)&gt;YEAR('1'!$C$18)+Parametrai!$C$15,"-",(YEAR('1'!$C$11)-1)+COUNT($C6:D6)))</f>
        <v>1900</v>
      </c>
      <c r="F6" s="358">
        <f>IF(F5="Pradžios metai",YEAR('1'!$E$22),IF((YEAR('1'!$C$11)-1)+COUNT($C6:E6)&gt;YEAR('1'!$C$18)+Parametrai!$C$15,"-",(YEAR('1'!$C$11)-1)+COUNT($C6:E6)))</f>
        <v>1901</v>
      </c>
      <c r="G6" s="358">
        <f>IF(G5="Pradžios metai",YEAR('1'!$E$22),IF((YEAR('1'!$C$11)-1)+COUNT($C6:F6)&gt;YEAR('1'!$C$18)+Parametrai!$C$15,"-",(YEAR('1'!$C$11)-1)+COUNT($C6:F6)))</f>
        <v>1902</v>
      </c>
      <c r="H6" s="358">
        <f>IF(H5="Pradžios metai",YEAR('1'!$E$22),IF((YEAR('1'!$C$11)-1)+COUNT($C6:G6)&gt;YEAR('1'!$C$18)+Parametrai!$C$15,"-",(YEAR('1'!$C$11)-1)+COUNT($C6:G6)))</f>
        <v>1903</v>
      </c>
      <c r="J6" s="302"/>
    </row>
    <row r="7" spans="2:10" ht="24.6" thickTop="1" x14ac:dyDescent="0.3">
      <c r="B7" s="50" t="s">
        <v>401</v>
      </c>
      <c r="C7" s="51" t="s">
        <v>149</v>
      </c>
      <c r="D7" s="91">
        <f>SUM(D8:D11)</f>
        <v>0</v>
      </c>
      <c r="E7" s="374">
        <f t="shared" ref="E7:H7" si="0">SUM(E8:E11)</f>
        <v>0</v>
      </c>
      <c r="F7" s="374">
        <f t="shared" si="0"/>
        <v>0</v>
      </c>
      <c r="G7" s="374">
        <f t="shared" si="0"/>
        <v>0</v>
      </c>
      <c r="H7" s="374">
        <f t="shared" si="0"/>
        <v>0</v>
      </c>
      <c r="I7" s="52"/>
      <c r="J7" s="302"/>
    </row>
    <row r="8" spans="2:10" x14ac:dyDescent="0.3">
      <c r="B8" s="21" t="s">
        <v>402</v>
      </c>
      <c r="C8" s="53" t="s">
        <v>238</v>
      </c>
      <c r="D8" s="91">
        <f>'4'!D7</f>
        <v>0</v>
      </c>
      <c r="E8" s="374">
        <f>'4'!E7</f>
        <v>0</v>
      </c>
      <c r="F8" s="374">
        <f>'4'!F7</f>
        <v>0</v>
      </c>
      <c r="G8" s="374">
        <f>'4'!G7</f>
        <v>0</v>
      </c>
      <c r="H8" s="374">
        <f>'4'!H7</f>
        <v>0</v>
      </c>
      <c r="I8" s="52"/>
      <c r="J8" s="302"/>
    </row>
    <row r="9" spans="2:10" x14ac:dyDescent="0.3">
      <c r="B9" s="21" t="s">
        <v>556</v>
      </c>
      <c r="C9" s="53" t="s">
        <v>239</v>
      </c>
      <c r="D9" s="91">
        <f>'4'!D8</f>
        <v>0</v>
      </c>
      <c r="E9" s="374">
        <f>'4'!E8</f>
        <v>0</v>
      </c>
      <c r="F9" s="374">
        <f>'4'!F8</f>
        <v>0</v>
      </c>
      <c r="G9" s="374">
        <f>'4'!G8</f>
        <v>0</v>
      </c>
      <c r="H9" s="374">
        <f>'4'!H8</f>
        <v>0</v>
      </c>
      <c r="I9" s="52"/>
      <c r="J9" s="302"/>
    </row>
    <row r="10" spans="2:10" x14ac:dyDescent="0.3">
      <c r="B10" s="21" t="s">
        <v>557</v>
      </c>
      <c r="C10" s="53" t="s">
        <v>241</v>
      </c>
      <c r="D10" s="91">
        <f>+'4'!D9</f>
        <v>0</v>
      </c>
      <c r="E10" s="374">
        <f>+'4'!E9</f>
        <v>0</v>
      </c>
      <c r="F10" s="374">
        <f>+'4'!F9</f>
        <v>0</v>
      </c>
      <c r="G10" s="374">
        <f>+'4'!G9</f>
        <v>0</v>
      </c>
      <c r="H10" s="374">
        <f>+'4'!H9</f>
        <v>0</v>
      </c>
      <c r="I10" s="52"/>
      <c r="J10" s="302"/>
    </row>
    <row r="11" spans="2:10" x14ac:dyDescent="0.3">
      <c r="B11" s="21" t="s">
        <v>558</v>
      </c>
      <c r="C11" s="53" t="s">
        <v>150</v>
      </c>
      <c r="D11" s="90"/>
      <c r="E11" s="343"/>
      <c r="F11" s="343"/>
      <c r="G11" s="343"/>
      <c r="H11" s="343"/>
      <c r="I11" s="52"/>
      <c r="J11" s="302"/>
    </row>
    <row r="12" spans="2:10" x14ac:dyDescent="0.3">
      <c r="B12" s="21" t="s">
        <v>403</v>
      </c>
      <c r="C12" s="13" t="s">
        <v>151</v>
      </c>
      <c r="D12" s="204">
        <f>-'7'!C14</f>
        <v>0</v>
      </c>
      <c r="E12" s="375">
        <f>-'7'!D14</f>
        <v>0</v>
      </c>
      <c r="F12" s="375">
        <f>-'7'!E14</f>
        <v>0</v>
      </c>
      <c r="G12" s="375">
        <f>-'7'!F14</f>
        <v>0</v>
      </c>
      <c r="H12" s="375">
        <f>-'7'!G14</f>
        <v>0</v>
      </c>
      <c r="J12" s="302"/>
    </row>
    <row r="13" spans="2:10" x14ac:dyDescent="0.3">
      <c r="B13" s="21" t="s">
        <v>559</v>
      </c>
      <c r="C13" s="53" t="s">
        <v>152</v>
      </c>
      <c r="D13" s="90"/>
      <c r="E13" s="343"/>
      <c r="F13" s="343"/>
      <c r="G13" s="343"/>
      <c r="H13" s="343"/>
      <c r="I13" s="52"/>
      <c r="J13" s="302"/>
    </row>
    <row r="14" spans="2:10" x14ac:dyDescent="0.3">
      <c r="B14" s="21" t="s">
        <v>560</v>
      </c>
      <c r="C14" s="13" t="s">
        <v>153</v>
      </c>
      <c r="D14" s="204">
        <f>SUM(D7,D12,D13)</f>
        <v>0</v>
      </c>
      <c r="E14" s="375">
        <f t="shared" ref="E14:H14" si="1">SUM(E7,E12,E13)</f>
        <v>0</v>
      </c>
      <c r="F14" s="375">
        <f t="shared" si="1"/>
        <v>0</v>
      </c>
      <c r="G14" s="375">
        <f t="shared" si="1"/>
        <v>0</v>
      </c>
      <c r="H14" s="375">
        <f t="shared" si="1"/>
        <v>0</v>
      </c>
      <c r="J14" s="302"/>
    </row>
    <row r="15" spans="2:10" x14ac:dyDescent="0.3">
      <c r="B15" s="21" t="s">
        <v>561</v>
      </c>
      <c r="C15" s="13" t="s">
        <v>154</v>
      </c>
      <c r="D15" s="204">
        <f>-'7'!C21</f>
        <v>0</v>
      </c>
      <c r="E15" s="375">
        <f>-'7'!D21</f>
        <v>0</v>
      </c>
      <c r="F15" s="375">
        <f>-'7'!E21</f>
        <v>0</v>
      </c>
      <c r="G15" s="375">
        <f>-'7'!F21</f>
        <v>0</v>
      </c>
      <c r="H15" s="375">
        <f>-'7'!G21</f>
        <v>0</v>
      </c>
      <c r="J15" s="302"/>
    </row>
    <row r="16" spans="2:10" x14ac:dyDescent="0.3">
      <c r="B16" s="21" t="s">
        <v>562</v>
      </c>
      <c r="C16" s="13" t="s">
        <v>155</v>
      </c>
      <c r="D16" s="204">
        <f>-'7'!C29</f>
        <v>0</v>
      </c>
      <c r="E16" s="375">
        <f>-'7'!D29</f>
        <v>0</v>
      </c>
      <c r="F16" s="375">
        <f>-'7'!E29</f>
        <v>0</v>
      </c>
      <c r="G16" s="375">
        <f>-'7'!F29</f>
        <v>0</v>
      </c>
      <c r="H16" s="375">
        <f>-'7'!G29</f>
        <v>0</v>
      </c>
      <c r="J16" s="302"/>
    </row>
    <row r="17" spans="2:10" ht="24" x14ac:dyDescent="0.3">
      <c r="B17" s="21" t="s">
        <v>563</v>
      </c>
      <c r="C17" s="53" t="s">
        <v>542</v>
      </c>
      <c r="D17" s="204">
        <f>SUM(D14:D16)</f>
        <v>0</v>
      </c>
      <c r="E17" s="375">
        <f t="shared" ref="E17:H17" si="2">SUM(E14:E16)</f>
        <v>0</v>
      </c>
      <c r="F17" s="375">
        <f t="shared" si="2"/>
        <v>0</v>
      </c>
      <c r="G17" s="375">
        <f t="shared" si="2"/>
        <v>0</v>
      </c>
      <c r="H17" s="375">
        <f t="shared" si="2"/>
        <v>0</v>
      </c>
      <c r="J17" s="302"/>
    </row>
    <row r="18" spans="2:10" x14ac:dyDescent="0.3">
      <c r="B18" s="21" t="s">
        <v>564</v>
      </c>
      <c r="C18" s="53" t="s">
        <v>156</v>
      </c>
      <c r="D18" s="90"/>
      <c r="E18" s="343"/>
      <c r="F18" s="343"/>
      <c r="G18" s="343"/>
      <c r="H18" s="204"/>
      <c r="J18" s="302" t="s">
        <v>546</v>
      </c>
    </row>
    <row r="19" spans="2:10" x14ac:dyDescent="0.3">
      <c r="B19" s="21" t="s">
        <v>565</v>
      </c>
      <c r="C19" s="53" t="s">
        <v>543</v>
      </c>
      <c r="D19" s="90"/>
      <c r="E19" s="343"/>
      <c r="F19" s="343"/>
      <c r="G19" s="343"/>
      <c r="H19" s="343"/>
      <c r="J19" s="302" t="s">
        <v>545</v>
      </c>
    </row>
    <row r="20" spans="2:10" ht="24" x14ac:dyDescent="0.3">
      <c r="B20" s="21" t="s">
        <v>567</v>
      </c>
      <c r="C20" s="53" t="s">
        <v>894</v>
      </c>
      <c r="D20" s="90"/>
      <c r="E20" s="343"/>
      <c r="F20" s="343"/>
      <c r="G20" s="343"/>
      <c r="H20" s="343"/>
      <c r="J20" s="302" t="s">
        <v>547</v>
      </c>
    </row>
    <row r="21" spans="2:10" x14ac:dyDescent="0.3">
      <c r="B21" s="21" t="s">
        <v>568</v>
      </c>
      <c r="C21" s="13" t="s">
        <v>544</v>
      </c>
      <c r="D21" s="204">
        <f>-('8'!D25 + '8'!D35)</f>
        <v>0</v>
      </c>
      <c r="E21" s="375">
        <f>-('8'!E25 + '8'!E35)</f>
        <v>0</v>
      </c>
      <c r="F21" s="375">
        <f>-('8'!F25 + '8'!F35)</f>
        <v>0</v>
      </c>
      <c r="G21" s="375">
        <f>-('8'!G25 + '8'!G35)</f>
        <v>0</v>
      </c>
      <c r="H21" s="375">
        <f>-('8'!H25 + '8'!H35)</f>
        <v>0</v>
      </c>
      <c r="J21" s="302"/>
    </row>
    <row r="22" spans="2:10" ht="24" x14ac:dyDescent="0.3">
      <c r="B22" s="21" t="s">
        <v>566</v>
      </c>
      <c r="C22" s="13" t="s">
        <v>158</v>
      </c>
      <c r="D22" s="204">
        <f>SUM(D17:D21)</f>
        <v>0</v>
      </c>
      <c r="E22" s="375">
        <f t="shared" ref="E22:H22" si="3">SUM(E17:E21)</f>
        <v>0</v>
      </c>
      <c r="F22" s="375">
        <f t="shared" si="3"/>
        <v>0</v>
      </c>
      <c r="G22" s="375">
        <f t="shared" si="3"/>
        <v>0</v>
      </c>
      <c r="H22" s="375">
        <f t="shared" si="3"/>
        <v>0</v>
      </c>
      <c r="J22" s="302"/>
    </row>
    <row r="23" spans="2:10" x14ac:dyDescent="0.3">
      <c r="B23" s="21" t="s">
        <v>569</v>
      </c>
      <c r="C23" s="53" t="s">
        <v>159</v>
      </c>
      <c r="D23" s="90"/>
      <c r="E23" s="380">
        <f t="shared" ref="E23:H23" si="4">IF((E22-E11)&lt;0,0,-((E22-E11)*E26))</f>
        <v>0</v>
      </c>
      <c r="F23" s="380">
        <f t="shared" si="4"/>
        <v>0</v>
      </c>
      <c r="G23" s="380">
        <f t="shared" si="4"/>
        <v>0</v>
      </c>
      <c r="H23" s="380">
        <f t="shared" si="4"/>
        <v>0</v>
      </c>
      <c r="J23" s="302"/>
    </row>
    <row r="24" spans="2:10" x14ac:dyDescent="0.3">
      <c r="B24" s="220" t="s">
        <v>570</v>
      </c>
      <c r="C24" s="221" t="s">
        <v>680</v>
      </c>
      <c r="D24" s="222">
        <f t="shared" ref="D24:H24" si="5">SUM(D22,D23)</f>
        <v>0</v>
      </c>
      <c r="E24" s="381">
        <f t="shared" si="5"/>
        <v>0</v>
      </c>
      <c r="F24" s="381">
        <f t="shared" si="5"/>
        <v>0</v>
      </c>
      <c r="G24" s="381">
        <f t="shared" si="5"/>
        <v>0</v>
      </c>
      <c r="H24" s="381">
        <f t="shared" si="5"/>
        <v>0</v>
      </c>
      <c r="J24" s="302"/>
    </row>
    <row r="25" spans="2:10" x14ac:dyDescent="0.3">
      <c r="D25" s="114"/>
      <c r="E25" s="114"/>
      <c r="F25" s="114"/>
      <c r="G25" s="114"/>
      <c r="H25" s="114"/>
      <c r="J25" s="302"/>
    </row>
    <row r="26" spans="2:10" x14ac:dyDescent="0.3">
      <c r="B26" s="21" t="s">
        <v>571</v>
      </c>
      <c r="C26" s="13" t="s">
        <v>395</v>
      </c>
      <c r="D26" s="350" t="str">
        <f>IFERROR(-D23/D22,"-")</f>
        <v>-</v>
      </c>
      <c r="E26" s="351">
        <v>0.15</v>
      </c>
      <c r="F26" s="351">
        <v>0.15</v>
      </c>
      <c r="G26" s="351">
        <v>0.15</v>
      </c>
      <c r="H26" s="351">
        <v>0.15</v>
      </c>
      <c r="J26" s="302"/>
    </row>
    <row r="27" spans="2:10" ht="28.95" customHeight="1" x14ac:dyDescent="0.3">
      <c r="B27" s="21" t="s">
        <v>572</v>
      </c>
      <c r="C27" s="13" t="s">
        <v>396</v>
      </c>
      <c r="D27" s="527"/>
      <c r="E27" s="528"/>
      <c r="F27" s="528"/>
      <c r="G27" s="528"/>
      <c r="H27" s="528"/>
      <c r="J27" s="304" t="s">
        <v>973</v>
      </c>
    </row>
    <row r="30" spans="2:10" x14ac:dyDescent="0.3">
      <c r="D30" s="114"/>
    </row>
  </sheetData>
  <sheetProtection algorithmName="SHA-512" hashValue="gf6EVa1M4Cee9lRsTg7CU43GnxQ0JvIZFiBHexJg/7fvBAefm1ROaoJRdXEVP4dphiiIWYE0FK9NlFfPoe/2wA==" saltValue="84JpnFzfpdD1I/6xH5lOBg==" spinCount="100000" sheet="1" objects="1" scenarios="1" formatRows="0"/>
  <mergeCells count="4">
    <mergeCell ref="B5:B6"/>
    <mergeCell ref="C5:C6"/>
    <mergeCell ref="E5:H5"/>
    <mergeCell ref="D27:H27"/>
  </mergeCells>
  <phoneticPr fontId="12" type="noConversion"/>
  <conditionalFormatting sqref="D2:H2">
    <cfRule type="cellIs" dxfId="23" priority="12" operator="between">
      <formula>0.0001</formula>
      <formula>3</formula>
    </cfRule>
    <cfRule type="cellIs" dxfId="22" priority="13" operator="between">
      <formula>-3</formula>
      <formula>-0.0001</formula>
    </cfRule>
    <cfRule type="cellIs" dxfId="21" priority="14" operator="lessThan">
      <formula>-3</formula>
    </cfRule>
    <cfRule type="cellIs" dxfId="20" priority="15" operator="greaterThan">
      <formula>3</formula>
    </cfRule>
  </conditionalFormatting>
  <conditionalFormatting sqref="D6:H6">
    <cfRule type="expression" dxfId="19" priority="1">
      <formula>D6="-"</formula>
    </cfRule>
  </conditionalFormatting>
  <conditionalFormatting sqref="J2">
    <cfRule type="expression" dxfId="18" priority="8">
      <formula>J2&lt;&gt;"ok"</formula>
    </cfRule>
  </conditionalFormatting>
  <dataValidations count="1">
    <dataValidation type="whole" operator="lessThan" allowBlank="1" showInputMessage="1" showErrorMessage="1" error="Įveskite neigiamą skaičių" prompt="Įveskite neigiamą skaičių" sqref="D23 D20:H2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D6:H6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4">
    <tabColor theme="8" tint="-0.499984740745262"/>
  </sheetPr>
  <dimension ref="A1:J65"/>
  <sheetViews>
    <sheetView topLeftCell="B1" zoomScale="130" zoomScaleNormal="130" workbookViewId="0">
      <pane xSplit="2" ySplit="6" topLeftCell="D7" activePane="bottomRight" state="frozen"/>
      <selection activeCell="B14" sqref="B14:L14"/>
      <selection pane="topRight" activeCell="B14" sqref="B14:L14"/>
      <selection pane="bottomLeft" activeCell="B14" sqref="B14:L14"/>
      <selection pane="bottomRight" activeCell="D8" sqref="D8"/>
    </sheetView>
  </sheetViews>
  <sheetFormatPr defaultColWidth="8.6640625" defaultRowHeight="13.8" x14ac:dyDescent="0.3"/>
  <cols>
    <col min="1" max="1" width="0" style="3" hidden="1" customWidth="1"/>
    <col min="2" max="2" width="6.33203125" style="3" customWidth="1"/>
    <col min="3" max="3" width="33.44140625" style="1" customWidth="1"/>
    <col min="4" max="8" width="10" style="3" customWidth="1"/>
    <col min="9" max="9" width="4.44140625" style="4" customWidth="1"/>
    <col min="10" max="10" width="43.5546875" style="3" customWidth="1"/>
    <col min="11" max="16384" width="8.6640625" style="3"/>
  </cols>
  <sheetData>
    <row r="1" spans="1:10" ht="14.4" x14ac:dyDescent="0.3">
      <c r="B1" s="144" t="s">
        <v>59</v>
      </c>
      <c r="C1" s="169" t="s">
        <v>89</v>
      </c>
      <c r="D1" s="144"/>
      <c r="E1" s="144"/>
      <c r="F1" s="144"/>
      <c r="G1" s="144"/>
      <c r="H1" s="144"/>
      <c r="J1" s="290" t="s">
        <v>293</v>
      </c>
    </row>
    <row r="2" spans="1:10" ht="14.4" x14ac:dyDescent="0.3">
      <c r="C2" s="38" t="s">
        <v>90</v>
      </c>
      <c r="D2" s="39">
        <f>'9.1'!D2</f>
        <v>0</v>
      </c>
      <c r="E2" s="39">
        <f>'9.1'!E2</f>
        <v>0</v>
      </c>
      <c r="F2" s="39">
        <f>'9.1'!F2</f>
        <v>0</v>
      </c>
      <c r="G2" s="39">
        <f>'9.1'!G2</f>
        <v>0</v>
      </c>
      <c r="H2" s="39">
        <f>'9.1'!H2</f>
        <v>0</v>
      </c>
      <c r="J2" s="62" t="str">
        <f>IF((COUNTIFS(D2:H2,"&gt;3")+COUNTIFS(D2:H2,"&lt;-3"))&gt;0,"Patikrinkite duomenis, turtas iš viso nėra lygus nuosavybei ir įsipareigojimams iš viso","ok")</f>
        <v>ok</v>
      </c>
    </row>
    <row r="3" spans="1:10" x14ac:dyDescent="0.3">
      <c r="B3" s="144" t="s">
        <v>394</v>
      </c>
      <c r="C3" s="271" t="s">
        <v>783</v>
      </c>
      <c r="D3" s="144"/>
      <c r="E3" s="144"/>
      <c r="F3" s="144"/>
      <c r="G3" s="144"/>
      <c r="H3" s="144"/>
      <c r="I3" s="40"/>
    </row>
    <row r="4" spans="1:10" x14ac:dyDescent="0.3">
      <c r="A4" s="223"/>
      <c r="B4" s="223"/>
      <c r="C4" s="224"/>
      <c r="D4" s="223"/>
      <c r="E4" s="223"/>
      <c r="F4" s="223"/>
      <c r="G4" s="223"/>
      <c r="H4" s="223"/>
    </row>
    <row r="5" spans="1:10" ht="22.8" x14ac:dyDescent="0.3">
      <c r="B5" s="474" t="s">
        <v>22</v>
      </c>
      <c r="C5" s="474" t="s">
        <v>44</v>
      </c>
      <c r="D5" s="135" t="str">
        <f>IF(AND('1'!$C$22="Verslo pradžia",YEAR('1'!$E$22)=YEAR('1'!$C$11)),"Pradžios metai","Ataskaitiniai metai")</f>
        <v>Ataskaitiniai metai</v>
      </c>
      <c r="E5" s="463" t="s">
        <v>12</v>
      </c>
      <c r="F5" s="464"/>
      <c r="G5" s="464"/>
      <c r="H5" s="464"/>
    </row>
    <row r="6" spans="1:10" ht="14.4" thickBot="1" x14ac:dyDescent="0.35">
      <c r="B6" s="475"/>
      <c r="C6" s="475"/>
      <c r="D6" s="358">
        <f>IF(D5="Pradžios metai",YEAR('1'!$E$22),IF((YEAR('1'!$C$11)-1)+COUNT($C6:C6)&gt;YEAR('1'!$C$18)+Parametrai!$C$15,"-",(YEAR('1'!$C$11)-1)+COUNT($C6:C6)))</f>
        <v>1899</v>
      </c>
      <c r="E6" s="358">
        <f>IF(E5="Pradžios metai",YEAR('1'!$E$22),IF((YEAR('1'!$C$11)-1)+COUNT($C6:D6)&gt;YEAR('1'!$C$18)+Parametrai!$C$15,"-",(YEAR('1'!$C$11)-1)+COUNT($C6:D6)))</f>
        <v>1900</v>
      </c>
      <c r="F6" s="358">
        <f>IF(F5="Pradžios metai",YEAR('1'!$E$22),IF((YEAR('1'!$C$11)-1)+COUNT($C6:E6)&gt;YEAR('1'!$C$18)+Parametrai!$C$15,"-",(YEAR('1'!$C$11)-1)+COUNT($C6:E6)))</f>
        <v>1901</v>
      </c>
      <c r="G6" s="358">
        <f>IF(G5="Pradžios metai",YEAR('1'!$E$22),IF((YEAR('1'!$C$11)-1)+COUNT($C6:F6)&gt;YEAR('1'!$C$18)+Parametrai!$C$15,"-",(YEAR('1'!$C$11)-1)+COUNT($C6:F6)))</f>
        <v>1902</v>
      </c>
      <c r="H6" s="358">
        <f>IF(H5="Pradžios metai",YEAR('1'!$E$22),IF((YEAR('1'!$C$11)-1)+COUNT($C6:G6)&gt;YEAR('1'!$C$18)+Parametrai!$C$15,"-",(YEAR('1'!$C$11)-1)+COUNT($C6:G6)))</f>
        <v>1903</v>
      </c>
    </row>
    <row r="7" spans="1:10" ht="14.4" thickTop="1" x14ac:dyDescent="0.3">
      <c r="A7" s="11"/>
      <c r="B7" s="206" t="s">
        <v>479</v>
      </c>
      <c r="C7" s="207" t="s">
        <v>161</v>
      </c>
      <c r="D7" s="208"/>
      <c r="E7" s="208"/>
      <c r="F7" s="208"/>
      <c r="G7" s="208"/>
      <c r="H7" s="208"/>
    </row>
    <row r="8" spans="1:10" x14ac:dyDescent="0.3">
      <c r="A8" s="11"/>
      <c r="B8" s="203" t="s">
        <v>504</v>
      </c>
      <c r="C8" s="18" t="s">
        <v>162</v>
      </c>
      <c r="D8" s="375">
        <f>'9.2'!D24</f>
        <v>0</v>
      </c>
      <c r="E8" s="375">
        <f>'9.2'!E24</f>
        <v>0</v>
      </c>
      <c r="F8" s="375">
        <f>'9.2'!F24</f>
        <v>0</v>
      </c>
      <c r="G8" s="375">
        <f>'9.2'!G24</f>
        <v>0</v>
      </c>
      <c r="H8" s="375">
        <f>'9.2'!H24</f>
        <v>0</v>
      </c>
    </row>
    <row r="9" spans="1:10" x14ac:dyDescent="0.3">
      <c r="A9" s="11"/>
      <c r="B9" s="203" t="s">
        <v>505</v>
      </c>
      <c r="C9" s="18" t="s">
        <v>163</v>
      </c>
      <c r="D9" s="375">
        <f>SUM('7'!C12,'7'!C13,'7'!C23)</f>
        <v>0</v>
      </c>
      <c r="E9" s="375">
        <f>SUM('7'!D12,'7'!D13,'7'!D23)</f>
        <v>0</v>
      </c>
      <c r="F9" s="375">
        <f>SUM('7'!E12,'7'!E13,'7'!E23)</f>
        <v>0</v>
      </c>
      <c r="G9" s="375">
        <f>SUM('7'!F12,'7'!F13,'7'!F23)</f>
        <v>0</v>
      </c>
      <c r="H9" s="375">
        <f>SUM('7'!G12,'7'!G13,'7'!G23)</f>
        <v>0</v>
      </c>
    </row>
    <row r="10" spans="1:10" ht="24" x14ac:dyDescent="0.3">
      <c r="A10" s="11"/>
      <c r="B10" s="203" t="s">
        <v>506</v>
      </c>
      <c r="C10" s="18" t="s">
        <v>164</v>
      </c>
      <c r="D10" s="374">
        <f>-SUM('9.2'!D18)</f>
        <v>0</v>
      </c>
      <c r="E10" s="374">
        <f>-SUM('9.2'!E18)</f>
        <v>0</v>
      </c>
      <c r="F10" s="374">
        <f>-SUM('9.2'!F18)</f>
        <v>0</v>
      </c>
      <c r="G10" s="374">
        <f>-SUM('9.2'!G18)</f>
        <v>0</v>
      </c>
      <c r="H10" s="374">
        <f>-SUM('9.2'!H18)</f>
        <v>0</v>
      </c>
      <c r="J10" s="302"/>
    </row>
    <row r="11" spans="1:10" ht="24" x14ac:dyDescent="0.3">
      <c r="A11" s="11"/>
      <c r="B11" s="203" t="s">
        <v>507</v>
      </c>
      <c r="C11" s="215" t="s">
        <v>165</v>
      </c>
      <c r="D11" s="375">
        <f>-SUM('9.2'!D19:D21)</f>
        <v>0</v>
      </c>
      <c r="E11" s="375">
        <f>-SUM('9.2'!E19:E21)</f>
        <v>0</v>
      </c>
      <c r="F11" s="375">
        <f>-SUM('9.2'!F19:F21)</f>
        <v>0</v>
      </c>
      <c r="G11" s="375">
        <f>-SUM('9.2'!G19:G21)</f>
        <v>0</v>
      </c>
      <c r="H11" s="375">
        <f>-SUM('9.2'!H19:H21)</f>
        <v>0</v>
      </c>
      <c r="I11" s="43"/>
      <c r="J11" s="302"/>
    </row>
    <row r="12" spans="1:10" x14ac:dyDescent="0.3">
      <c r="A12" s="11"/>
      <c r="B12" s="203" t="s">
        <v>508</v>
      </c>
      <c r="C12" s="18" t="s">
        <v>166</v>
      </c>
      <c r="D12" s="343"/>
      <c r="E12" s="91"/>
      <c r="F12" s="91"/>
      <c r="G12" s="91"/>
      <c r="H12" s="91"/>
      <c r="J12" s="302" t="s">
        <v>552</v>
      </c>
    </row>
    <row r="13" spans="1:10" ht="24" x14ac:dyDescent="0.3">
      <c r="A13" s="11"/>
      <c r="B13" s="203" t="s">
        <v>509</v>
      </c>
      <c r="C13" s="215" t="s">
        <v>167</v>
      </c>
      <c r="D13" s="343"/>
      <c r="E13" s="343"/>
      <c r="F13" s="343"/>
      <c r="G13" s="343"/>
      <c r="H13" s="343"/>
      <c r="I13" s="55"/>
      <c r="J13" s="302" t="s">
        <v>976</v>
      </c>
    </row>
    <row r="14" spans="1:10" ht="24" x14ac:dyDescent="0.3">
      <c r="A14" s="11"/>
      <c r="B14" s="203" t="s">
        <v>510</v>
      </c>
      <c r="C14" s="215" t="s">
        <v>168</v>
      </c>
      <c r="D14" s="343"/>
      <c r="E14" s="343"/>
      <c r="F14" s="343"/>
      <c r="G14" s="343"/>
      <c r="H14" s="343"/>
      <c r="I14" s="55"/>
      <c r="J14" s="302" t="s">
        <v>976</v>
      </c>
    </row>
    <row r="15" spans="1:10" ht="24" x14ac:dyDescent="0.3">
      <c r="A15" s="11"/>
      <c r="B15" s="203" t="s">
        <v>511</v>
      </c>
      <c r="C15" s="215" t="s">
        <v>554</v>
      </c>
      <c r="D15" s="343"/>
      <c r="E15" s="375">
        <f>-('9.1'!E19-'9.1'!D19)</f>
        <v>0</v>
      </c>
      <c r="F15" s="375">
        <f>-('9.1'!F19-'9.1'!E19)</f>
        <v>0</v>
      </c>
      <c r="G15" s="375">
        <f>-('9.1'!G19-'9.1'!F19)</f>
        <v>0</v>
      </c>
      <c r="H15" s="375">
        <f>-('9.1'!H19-'9.1'!G19)</f>
        <v>0</v>
      </c>
      <c r="I15" s="43"/>
    </row>
    <row r="16" spans="1:10" ht="24" x14ac:dyDescent="0.3">
      <c r="A16" s="11"/>
      <c r="B16" s="203" t="s">
        <v>512</v>
      </c>
      <c r="C16" s="18" t="s">
        <v>169</v>
      </c>
      <c r="D16" s="343"/>
      <c r="E16" s="375">
        <f>-(('9.1'!E21-'9.1'!E27) - ('9.1'!D21-'9.1'!D27))</f>
        <v>0</v>
      </c>
      <c r="F16" s="375">
        <f>-(('9.1'!F21-'9.1'!F27) - ('9.1'!E21-'9.1'!E27))</f>
        <v>0</v>
      </c>
      <c r="G16" s="375">
        <f>-(('9.1'!G21-'9.1'!G27) - ('9.1'!F21-'9.1'!F27))</f>
        <v>0</v>
      </c>
      <c r="H16" s="375">
        <f>-(('9.1'!H21-'9.1'!H27) - ('9.1'!G21-'9.1'!G27))</f>
        <v>0</v>
      </c>
    </row>
    <row r="17" spans="1:10" x14ac:dyDescent="0.3">
      <c r="A17" s="11"/>
      <c r="B17" s="203" t="s">
        <v>513</v>
      </c>
      <c r="C17" s="18" t="s">
        <v>170</v>
      </c>
      <c r="D17" s="343"/>
      <c r="E17" s="375">
        <f>-('9.1'!E27-'9.1'!D27)</f>
        <v>0</v>
      </c>
      <c r="F17" s="375">
        <f>-('9.1'!F27-'9.1'!E27)</f>
        <v>0</v>
      </c>
      <c r="G17" s="375">
        <f>-('9.1'!G27-'9.1'!F27)</f>
        <v>0</v>
      </c>
      <c r="H17" s="375">
        <f>-('9.1'!H27-'9.1'!G27)</f>
        <v>0</v>
      </c>
    </row>
    <row r="18" spans="1:10" x14ac:dyDescent="0.3">
      <c r="A18" s="11"/>
      <c r="B18" s="203" t="s">
        <v>514</v>
      </c>
      <c r="C18" s="18" t="s">
        <v>171</v>
      </c>
      <c r="D18" s="343"/>
      <c r="E18" s="375">
        <f>-('9.1'!E29-'9.1'!D29)</f>
        <v>0</v>
      </c>
      <c r="F18" s="375">
        <f>-('9.1'!F29-'9.1'!E29)</f>
        <v>0</v>
      </c>
      <c r="G18" s="375">
        <f>-('9.1'!G29-'9.1'!F29)</f>
        <v>0</v>
      </c>
      <c r="H18" s="375">
        <f>-('9.1'!H29-'9.1'!G29)</f>
        <v>0</v>
      </c>
    </row>
    <row r="19" spans="1:10" x14ac:dyDescent="0.3">
      <c r="A19" s="11"/>
      <c r="B19" s="203" t="s">
        <v>573</v>
      </c>
      <c r="C19" s="18" t="s">
        <v>172</v>
      </c>
      <c r="D19" s="343"/>
      <c r="E19" s="375">
        <f>-('9.1'!E30-'9.1'!D30)</f>
        <v>0</v>
      </c>
      <c r="F19" s="375">
        <f>-('9.1'!F30-'9.1'!E30)</f>
        <v>0</v>
      </c>
      <c r="G19" s="375">
        <f>-('9.1'!G30-'9.1'!F30)</f>
        <v>0</v>
      </c>
      <c r="H19" s="375">
        <f>-('9.1'!H30-'9.1'!G30)</f>
        <v>0</v>
      </c>
    </row>
    <row r="20" spans="1:10" ht="24" x14ac:dyDescent="0.3">
      <c r="A20" s="11"/>
      <c r="B20" s="203" t="s">
        <v>515</v>
      </c>
      <c r="C20" s="18" t="s">
        <v>173</v>
      </c>
      <c r="D20" s="343"/>
      <c r="E20" s="375">
        <f>-('9.1'!E31-'9.1'!D31)</f>
        <v>0</v>
      </c>
      <c r="F20" s="375">
        <f>-('9.1'!F31-'9.1'!E31)</f>
        <v>0</v>
      </c>
      <c r="G20" s="375">
        <f>-('9.1'!G31-'9.1'!F31)</f>
        <v>0</v>
      </c>
      <c r="H20" s="375">
        <f>-('9.1'!H31-'9.1'!G31)</f>
        <v>0</v>
      </c>
    </row>
    <row r="21" spans="1:10" ht="24" x14ac:dyDescent="0.3">
      <c r="A21" s="11"/>
      <c r="B21" s="203" t="s">
        <v>516</v>
      </c>
      <c r="C21" s="18" t="s">
        <v>174</v>
      </c>
      <c r="D21" s="343"/>
      <c r="E21" s="375">
        <f>-('9.1'!E33-'9.1'!D33)</f>
        <v>0</v>
      </c>
      <c r="F21" s="375">
        <f>-('9.1'!F33-'9.1'!E33)</f>
        <v>0</v>
      </c>
      <c r="G21" s="375">
        <f>-('9.1'!G33-'9.1'!F33)</f>
        <v>0</v>
      </c>
      <c r="H21" s="375">
        <f>-('9.1'!H33-'9.1'!G33)</f>
        <v>0</v>
      </c>
    </row>
    <row r="22" spans="1:10" x14ac:dyDescent="0.3">
      <c r="A22" s="11"/>
      <c r="B22" s="203" t="s">
        <v>517</v>
      </c>
      <c r="C22" s="18" t="s">
        <v>175</v>
      </c>
      <c r="D22" s="343"/>
      <c r="E22" s="375">
        <f>'9.1'!E49-'9.1'!D49</f>
        <v>0</v>
      </c>
      <c r="F22" s="375">
        <f>'9.1'!F49-'9.1'!E49</f>
        <v>0</v>
      </c>
      <c r="G22" s="375">
        <f>'9.1'!G49-'9.1'!F49</f>
        <v>0</v>
      </c>
      <c r="H22" s="375">
        <f>'9.1'!H49-'9.1'!G49</f>
        <v>0</v>
      </c>
    </row>
    <row r="23" spans="1:10" ht="24" x14ac:dyDescent="0.3">
      <c r="A23" s="11"/>
      <c r="B23" s="203" t="s">
        <v>518</v>
      </c>
      <c r="C23" s="18" t="s">
        <v>176</v>
      </c>
      <c r="D23" s="343"/>
      <c r="E23" s="375">
        <f>('9.1'!E54+'9.1'!E55)-('9.1'!D54+'9.1'!D55)</f>
        <v>0</v>
      </c>
      <c r="F23" s="375">
        <f>+('9.1'!F54+'9.1'!F55)-('9.1'!E54+'9.1'!E55)</f>
        <v>0</v>
      </c>
      <c r="G23" s="375">
        <f>+('9.1'!G54+'9.1'!G55)-('9.1'!F54+'9.1'!F55)</f>
        <v>0</v>
      </c>
      <c r="H23" s="375">
        <f>+('9.1'!H54+'9.1'!H55)-('9.1'!G54+'9.1'!G55)</f>
        <v>0</v>
      </c>
    </row>
    <row r="24" spans="1:10" ht="24" x14ac:dyDescent="0.3">
      <c r="A24" s="11"/>
      <c r="B24" s="203" t="s">
        <v>519</v>
      </c>
      <c r="C24" s="18" t="s">
        <v>177</v>
      </c>
      <c r="D24" s="343"/>
      <c r="E24" s="375">
        <f>('9.1'!E61 + '9.1'!E60)-('9.1'!D61 + '9.1'!D60)</f>
        <v>0</v>
      </c>
      <c r="F24" s="375">
        <f>('9.1'!F61 + '9.1'!F60)-('9.1'!E61 + '9.1'!E60)</f>
        <v>0</v>
      </c>
      <c r="G24" s="375">
        <f>('9.1'!G61 + '9.1'!G60)-('9.1'!F61 + '9.1'!F60)</f>
        <v>0</v>
      </c>
      <c r="H24" s="375">
        <f>('9.1'!H61 + '9.1'!H60)-('9.1'!G61 + '9.1'!G60)</f>
        <v>0</v>
      </c>
    </row>
    <row r="25" spans="1:10" ht="24" x14ac:dyDescent="0.3">
      <c r="A25" s="11"/>
      <c r="B25" s="203" t="s">
        <v>574</v>
      </c>
      <c r="C25" s="18" t="s">
        <v>178</v>
      </c>
      <c r="D25" s="343"/>
      <c r="E25" s="375">
        <f>'9.1'!E62-'9.1'!D62</f>
        <v>0</v>
      </c>
      <c r="F25" s="375">
        <f>'9.1'!F62-'9.1'!E62</f>
        <v>0</v>
      </c>
      <c r="G25" s="375">
        <f>'9.1'!G62-'9.1'!F62</f>
        <v>0</v>
      </c>
      <c r="H25" s="375">
        <f>'9.1'!H62-'9.1'!G62</f>
        <v>0</v>
      </c>
    </row>
    <row r="26" spans="1:10" ht="24" x14ac:dyDescent="0.3">
      <c r="A26" s="11"/>
      <c r="B26" s="203" t="s">
        <v>520</v>
      </c>
      <c r="C26" s="18" t="s">
        <v>179</v>
      </c>
      <c r="D26" s="343"/>
      <c r="E26" s="375">
        <f>'9.1'!E63-'9.1'!D63</f>
        <v>0</v>
      </c>
      <c r="F26" s="375">
        <f>'9.1'!F63-'9.1'!E63</f>
        <v>0</v>
      </c>
      <c r="G26" s="375">
        <f>'9.1'!G63-'9.1'!F63</f>
        <v>0</v>
      </c>
      <c r="H26" s="375">
        <f>'9.1'!H63-'9.1'!G63</f>
        <v>0</v>
      </c>
    </row>
    <row r="27" spans="1:10" ht="24" x14ac:dyDescent="0.3">
      <c r="A27" s="11"/>
      <c r="B27" s="203" t="s">
        <v>575</v>
      </c>
      <c r="C27" s="215" t="s">
        <v>180</v>
      </c>
      <c r="D27" s="343"/>
      <c r="E27" s="375">
        <f>('9.1'!E64+'9.1'!E56) - ('9.1'!D64+'9.1'!D56)</f>
        <v>0</v>
      </c>
      <c r="F27" s="375">
        <f>('9.1'!F64+'9.1'!F56) - ('9.1'!E64+'9.1'!E56)</f>
        <v>0</v>
      </c>
      <c r="G27" s="375">
        <f>('9.1'!G64+'9.1'!G56) - ('9.1'!F64+'9.1'!F56)</f>
        <v>0</v>
      </c>
      <c r="H27" s="375">
        <f>('9.1'!H64+'9.1'!H56) - ('9.1'!G64+'9.1'!G56)</f>
        <v>0</v>
      </c>
    </row>
    <row r="28" spans="1:10" ht="24" x14ac:dyDescent="0.3">
      <c r="A28" s="11"/>
      <c r="B28" s="203" t="s">
        <v>576</v>
      </c>
      <c r="C28" s="18" t="s">
        <v>181</v>
      </c>
      <c r="D28" s="343"/>
      <c r="E28" s="375">
        <f>'9.1'!E65-'9.1'!D65</f>
        <v>0</v>
      </c>
      <c r="F28" s="375">
        <f>'9.1'!F65-'9.1'!E65</f>
        <v>0</v>
      </c>
      <c r="G28" s="375">
        <f>'9.1'!G65-'9.1'!F65</f>
        <v>0</v>
      </c>
      <c r="H28" s="375">
        <f>'9.1'!H65-'9.1'!G65</f>
        <v>0</v>
      </c>
    </row>
    <row r="29" spans="1:10" x14ac:dyDescent="0.3">
      <c r="A29" s="11"/>
      <c r="B29" s="205" t="s">
        <v>521</v>
      </c>
      <c r="C29" s="138" t="s">
        <v>182</v>
      </c>
      <c r="D29" s="210">
        <f>SUM(D8:D28)</f>
        <v>0</v>
      </c>
      <c r="E29" s="210">
        <f t="shared" ref="E29:H29" si="0">SUM(E8:E28)</f>
        <v>0</v>
      </c>
      <c r="F29" s="210">
        <f t="shared" si="0"/>
        <v>0</v>
      </c>
      <c r="G29" s="210">
        <f t="shared" si="0"/>
        <v>0</v>
      </c>
      <c r="H29" s="210">
        <f t="shared" si="0"/>
        <v>0</v>
      </c>
    </row>
    <row r="30" spans="1:10" x14ac:dyDescent="0.3">
      <c r="A30" s="11"/>
      <c r="B30" s="205" t="s">
        <v>480</v>
      </c>
      <c r="C30" s="138" t="s">
        <v>183</v>
      </c>
      <c r="D30" s="186"/>
      <c r="E30" s="186"/>
      <c r="F30" s="186"/>
      <c r="G30" s="186"/>
      <c r="H30" s="186"/>
    </row>
    <row r="31" spans="1:10" x14ac:dyDescent="0.3">
      <c r="A31" s="11"/>
      <c r="B31" s="203" t="s">
        <v>522</v>
      </c>
      <c r="C31" s="18" t="s">
        <v>184</v>
      </c>
      <c r="D31" s="375">
        <f>-'6'!D62</f>
        <v>0</v>
      </c>
      <c r="E31" s="375">
        <f>-'6'!E62</f>
        <v>0</v>
      </c>
      <c r="F31" s="375">
        <f>-'6'!F62</f>
        <v>0</v>
      </c>
      <c r="G31" s="375">
        <f>-'6'!G62</f>
        <v>0</v>
      </c>
      <c r="H31" s="375">
        <f>-'6'!H62</f>
        <v>0</v>
      </c>
    </row>
    <row r="32" spans="1:10" x14ac:dyDescent="0.3">
      <c r="A32" s="11"/>
      <c r="B32" s="203" t="s">
        <v>523</v>
      </c>
      <c r="C32" s="18" t="s">
        <v>185</v>
      </c>
      <c r="D32" s="204"/>
      <c r="E32" s="204"/>
      <c r="F32" s="204"/>
      <c r="G32" s="204"/>
      <c r="H32" s="204"/>
      <c r="J32" s="302" t="s">
        <v>679</v>
      </c>
    </row>
    <row r="33" spans="1:10" x14ac:dyDescent="0.3">
      <c r="A33" s="11"/>
      <c r="B33" s="203" t="s">
        <v>524</v>
      </c>
      <c r="C33" s="18" t="s">
        <v>186</v>
      </c>
      <c r="D33" s="331"/>
      <c r="E33" s="331"/>
      <c r="F33" s="331"/>
      <c r="G33" s="331"/>
      <c r="H33" s="331"/>
      <c r="J33" s="302" t="s">
        <v>976</v>
      </c>
    </row>
    <row r="34" spans="1:10" x14ac:dyDescent="0.3">
      <c r="A34" s="11"/>
      <c r="B34" s="203" t="s">
        <v>525</v>
      </c>
      <c r="C34" s="18" t="s">
        <v>187</v>
      </c>
      <c r="D34" s="343"/>
      <c r="E34" s="343"/>
      <c r="F34" s="343"/>
      <c r="G34" s="343"/>
      <c r="H34" s="343"/>
      <c r="J34" s="302" t="s">
        <v>976</v>
      </c>
    </row>
    <row r="35" spans="1:10" x14ac:dyDescent="0.3">
      <c r="A35" s="11"/>
      <c r="B35" s="203" t="s">
        <v>526</v>
      </c>
      <c r="C35" s="18" t="s">
        <v>188</v>
      </c>
      <c r="D35" s="331"/>
      <c r="E35" s="331"/>
      <c r="F35" s="331"/>
      <c r="G35" s="331"/>
      <c r="H35" s="331"/>
      <c r="J35" s="302" t="s">
        <v>976</v>
      </c>
    </row>
    <row r="36" spans="1:10" x14ac:dyDescent="0.3">
      <c r="A36" s="11"/>
      <c r="B36" s="203" t="s">
        <v>527</v>
      </c>
      <c r="C36" s="18" t="s">
        <v>189</v>
      </c>
      <c r="D36" s="343"/>
      <c r="E36" s="343"/>
      <c r="F36" s="343"/>
      <c r="G36" s="343"/>
      <c r="H36" s="343"/>
      <c r="J36" s="302" t="s">
        <v>976</v>
      </c>
    </row>
    <row r="37" spans="1:10" x14ac:dyDescent="0.3">
      <c r="A37" s="11"/>
      <c r="B37" s="203" t="s">
        <v>528</v>
      </c>
      <c r="C37" s="18" t="s">
        <v>190</v>
      </c>
      <c r="D37" s="375">
        <f>'9.2'!D19</f>
        <v>0</v>
      </c>
      <c r="E37" s="375">
        <f>'9.2'!E19</f>
        <v>0</v>
      </c>
      <c r="F37" s="375">
        <f>'9.2'!F19</f>
        <v>0</v>
      </c>
      <c r="G37" s="375">
        <f>'9.2'!G19</f>
        <v>0</v>
      </c>
      <c r="H37" s="375">
        <f>'9.2'!H19</f>
        <v>0</v>
      </c>
      <c r="J37" s="302" t="s">
        <v>975</v>
      </c>
    </row>
    <row r="38" spans="1:10" ht="24" x14ac:dyDescent="0.3">
      <c r="A38" s="11"/>
      <c r="B38" s="203" t="s">
        <v>529</v>
      </c>
      <c r="C38" s="18" t="s">
        <v>191</v>
      </c>
      <c r="D38" s="261">
        <f>IF('9.2'!D18&gt;0,'9.2'!D18,0)</f>
        <v>0</v>
      </c>
      <c r="E38" s="375">
        <f>IF('9.2'!E18&gt;0,'9.2'!E18,0)</f>
        <v>0</v>
      </c>
      <c r="F38" s="375">
        <f>IF('9.2'!F18&gt;0,'9.2'!F18,0)</f>
        <v>0</v>
      </c>
      <c r="G38" s="375">
        <f>IF('9.2'!G18&gt;0,'9.2'!G18,0)</f>
        <v>0</v>
      </c>
      <c r="H38" s="375">
        <f>IF('9.2'!H18&gt;0,'9.2'!H18,0)</f>
        <v>0</v>
      </c>
      <c r="J38" s="302" t="s">
        <v>549</v>
      </c>
    </row>
    <row r="39" spans="1:10" ht="24" x14ac:dyDescent="0.3">
      <c r="A39" s="11"/>
      <c r="B39" s="203" t="s">
        <v>530</v>
      </c>
      <c r="C39" s="18" t="s">
        <v>192</v>
      </c>
      <c r="D39" s="261">
        <f>IF('9.2'!D18&lt;0,'9.2'!D18,0)</f>
        <v>0</v>
      </c>
      <c r="E39" s="375">
        <f>IF('9.2'!E18&lt;0,'9.2'!E18,0)</f>
        <v>0</v>
      </c>
      <c r="F39" s="375">
        <f>IF('9.2'!F18&lt;0,'9.2'!F18,0)</f>
        <v>0</v>
      </c>
      <c r="G39" s="375">
        <f>IF('9.2'!G18&lt;0,'9.2'!G18,0)</f>
        <v>0</v>
      </c>
      <c r="H39" s="375">
        <f>IF('9.2'!H18&lt;0,'9.2'!H18,0)</f>
        <v>0</v>
      </c>
      <c r="J39" s="302" t="s">
        <v>550</v>
      </c>
    </row>
    <row r="40" spans="1:10" x14ac:dyDescent="0.3">
      <c r="A40" s="11"/>
      <c r="B40" s="205" t="s">
        <v>577</v>
      </c>
      <c r="C40" s="138" t="s">
        <v>193</v>
      </c>
      <c r="D40" s="211">
        <f>SUM(D31:D39)</f>
        <v>0</v>
      </c>
      <c r="E40" s="211">
        <f>SUM(E31:E39)</f>
        <v>0</v>
      </c>
      <c r="F40" s="211">
        <f>SUM(F31:F39)</f>
        <v>0</v>
      </c>
      <c r="G40" s="211">
        <f t="shared" ref="G40:H40" si="1">SUM(G31:G39)</f>
        <v>0</v>
      </c>
      <c r="H40" s="211">
        <f t="shared" si="1"/>
        <v>0</v>
      </c>
    </row>
    <row r="41" spans="1:10" x14ac:dyDescent="0.3">
      <c r="A41" s="11"/>
      <c r="B41" s="205" t="s">
        <v>481</v>
      </c>
      <c r="C41" s="138" t="s">
        <v>194</v>
      </c>
      <c r="D41" s="186"/>
      <c r="E41" s="186"/>
      <c r="F41" s="186"/>
      <c r="G41" s="186"/>
      <c r="H41" s="186"/>
    </row>
    <row r="42" spans="1:10" x14ac:dyDescent="0.3">
      <c r="A42" s="11"/>
      <c r="B42" s="203" t="s">
        <v>499</v>
      </c>
      <c r="C42" s="18" t="s">
        <v>195</v>
      </c>
      <c r="D42" s="379">
        <f>SUM(D43:D46)</f>
        <v>0</v>
      </c>
      <c r="E42" s="379">
        <f t="shared" ref="E42:H42" si="2">SUM(E43:E46)</f>
        <v>0</v>
      </c>
      <c r="F42" s="379">
        <f t="shared" si="2"/>
        <v>0</v>
      </c>
      <c r="G42" s="379">
        <f t="shared" si="2"/>
        <v>0</v>
      </c>
      <c r="H42" s="379">
        <f t="shared" si="2"/>
        <v>0</v>
      </c>
    </row>
    <row r="43" spans="1:10" x14ac:dyDescent="0.3">
      <c r="A43" s="11"/>
      <c r="B43" s="203" t="s">
        <v>500</v>
      </c>
      <c r="C43" s="18" t="s">
        <v>196</v>
      </c>
      <c r="D43" s="343"/>
      <c r="E43" s="343"/>
      <c r="F43" s="343"/>
      <c r="G43" s="343"/>
      <c r="H43" s="92"/>
      <c r="I43" s="42"/>
      <c r="J43" s="302" t="s">
        <v>548</v>
      </c>
    </row>
    <row r="44" spans="1:10" x14ac:dyDescent="0.3">
      <c r="A44" s="11"/>
      <c r="B44" s="203" t="s">
        <v>501</v>
      </c>
      <c r="C44" s="18" t="s">
        <v>197</v>
      </c>
      <c r="D44" s="343"/>
      <c r="E44" s="343"/>
      <c r="F44" s="343"/>
      <c r="G44" s="343"/>
      <c r="H44" s="92"/>
      <c r="I44" s="43"/>
      <c r="J44" s="302" t="s">
        <v>548</v>
      </c>
    </row>
    <row r="45" spans="1:10" x14ac:dyDescent="0.3">
      <c r="A45" s="11"/>
      <c r="B45" s="203" t="s">
        <v>502</v>
      </c>
      <c r="C45" s="18" t="s">
        <v>198</v>
      </c>
      <c r="D45" s="331"/>
      <c r="E45" s="331"/>
      <c r="F45" s="331"/>
      <c r="G45" s="331"/>
      <c r="H45" s="92"/>
      <c r="I45" s="42"/>
      <c r="J45" s="302" t="s">
        <v>548</v>
      </c>
    </row>
    <row r="46" spans="1:10" x14ac:dyDescent="0.3">
      <c r="A46" s="11"/>
      <c r="B46" s="203" t="s">
        <v>503</v>
      </c>
      <c r="C46" s="18" t="s">
        <v>199</v>
      </c>
      <c r="D46" s="331"/>
      <c r="E46" s="331"/>
      <c r="F46" s="331"/>
      <c r="G46" s="331"/>
      <c r="H46" s="92"/>
      <c r="I46" s="43"/>
      <c r="J46" s="302" t="s">
        <v>548</v>
      </c>
    </row>
    <row r="47" spans="1:10" ht="24" x14ac:dyDescent="0.3">
      <c r="A47" s="11"/>
      <c r="B47" s="203" t="s">
        <v>488</v>
      </c>
      <c r="C47" s="18" t="s">
        <v>200</v>
      </c>
      <c r="D47" s="375">
        <f>SUM(D48,D51,D56:D59)</f>
        <v>0</v>
      </c>
      <c r="E47" s="375">
        <f t="shared" ref="E47:H47" si="3">SUM(E48,E51,E56:E59)</f>
        <v>0</v>
      </c>
      <c r="F47" s="375">
        <f t="shared" si="3"/>
        <v>0</v>
      </c>
      <c r="G47" s="375">
        <f t="shared" si="3"/>
        <v>0</v>
      </c>
      <c r="H47" s="375">
        <f t="shared" si="3"/>
        <v>0</v>
      </c>
    </row>
    <row r="48" spans="1:10" x14ac:dyDescent="0.3">
      <c r="A48" s="11"/>
      <c r="B48" s="203" t="s">
        <v>489</v>
      </c>
      <c r="C48" s="18" t="s">
        <v>201</v>
      </c>
      <c r="D48" s="375">
        <f>SUM(D49:D50)</f>
        <v>0</v>
      </c>
      <c r="E48" s="375">
        <f t="shared" ref="E48:H48" si="4">SUM(E49:E50)</f>
        <v>0</v>
      </c>
      <c r="F48" s="375">
        <f t="shared" si="4"/>
        <v>0</v>
      </c>
      <c r="G48" s="375">
        <f t="shared" si="4"/>
        <v>0</v>
      </c>
      <c r="H48" s="375">
        <f t="shared" si="4"/>
        <v>0</v>
      </c>
    </row>
    <row r="49" spans="1:10" x14ac:dyDescent="0.3">
      <c r="A49" s="11"/>
      <c r="B49" s="203" t="s">
        <v>490</v>
      </c>
      <c r="C49" s="18" t="s">
        <v>202</v>
      </c>
      <c r="D49" s="375">
        <f>'8'!D19+'8'!D20+'8'!D31</f>
        <v>0</v>
      </c>
      <c r="E49" s="375">
        <f>'8'!E19+'8'!E20+'8'!E31</f>
        <v>0</v>
      </c>
      <c r="F49" s="375">
        <f>'8'!F19+'8'!F20+'8'!F31</f>
        <v>0</v>
      </c>
      <c r="G49" s="375">
        <f>'8'!G19+'8'!G20+'8'!G31</f>
        <v>0</v>
      </c>
      <c r="H49" s="375">
        <f>'8'!H19+'8'!H20+'8'!H31</f>
        <v>0</v>
      </c>
    </row>
    <row r="50" spans="1:10" x14ac:dyDescent="0.3">
      <c r="A50" s="11"/>
      <c r="B50" s="203" t="s">
        <v>491</v>
      </c>
      <c r="C50" s="18" t="s">
        <v>203</v>
      </c>
      <c r="D50" s="379"/>
      <c r="E50" s="379"/>
      <c r="F50" s="379"/>
      <c r="G50" s="379"/>
      <c r="H50" s="379"/>
      <c r="J50" s="302" t="s">
        <v>551</v>
      </c>
    </row>
    <row r="51" spans="1:10" x14ac:dyDescent="0.3">
      <c r="A51" s="11"/>
      <c r="B51" s="203" t="s">
        <v>492</v>
      </c>
      <c r="C51" s="18" t="s">
        <v>204</v>
      </c>
      <c r="D51" s="379">
        <f>SUM(D52:D55)</f>
        <v>0</v>
      </c>
      <c r="E51" s="379">
        <f t="shared" ref="E51:H51" si="5">SUM(E52:E55)</f>
        <v>0</v>
      </c>
      <c r="F51" s="379">
        <f t="shared" si="5"/>
        <v>0</v>
      </c>
      <c r="G51" s="379">
        <f t="shared" si="5"/>
        <v>0</v>
      </c>
      <c r="H51" s="379">
        <f t="shared" si="5"/>
        <v>0</v>
      </c>
    </row>
    <row r="52" spans="1:10" x14ac:dyDescent="0.3">
      <c r="A52" s="11"/>
      <c r="B52" s="203" t="s">
        <v>493</v>
      </c>
      <c r="C52" s="18" t="s">
        <v>205</v>
      </c>
      <c r="D52" s="375">
        <f>-('8'!D21+'8'!D22)</f>
        <v>0</v>
      </c>
      <c r="E52" s="375">
        <f>-('8'!E21+'8'!E22)</f>
        <v>0</v>
      </c>
      <c r="F52" s="375">
        <f>-('8'!F21+'8'!F22)</f>
        <v>0</v>
      </c>
      <c r="G52" s="375">
        <f>-('8'!G21+'8'!G22)</f>
        <v>0</v>
      </c>
      <c r="H52" s="375">
        <f>-('8'!H21+'8'!H22)</f>
        <v>0</v>
      </c>
    </row>
    <row r="53" spans="1:10" x14ac:dyDescent="0.3">
      <c r="A53" s="11"/>
      <c r="B53" s="203" t="s">
        <v>494</v>
      </c>
      <c r="C53" s="18" t="s">
        <v>206</v>
      </c>
      <c r="D53" s="379"/>
      <c r="E53" s="379"/>
      <c r="F53" s="379"/>
      <c r="G53" s="379"/>
      <c r="H53" s="379"/>
      <c r="J53" s="302" t="s">
        <v>551</v>
      </c>
    </row>
    <row r="54" spans="1:10" x14ac:dyDescent="0.3">
      <c r="A54" s="11"/>
      <c r="B54" s="203" t="s">
        <v>495</v>
      </c>
      <c r="C54" s="18" t="s">
        <v>207</v>
      </c>
      <c r="D54" s="375">
        <f>-('8'!D25+'8'!D35)</f>
        <v>0</v>
      </c>
      <c r="E54" s="375">
        <f>-('8'!E25+'8'!E35)</f>
        <v>0</v>
      </c>
      <c r="F54" s="375">
        <f>-('8'!F25+'8'!F35)</f>
        <v>0</v>
      </c>
      <c r="G54" s="375">
        <f>-('8'!G25+'8'!G35)</f>
        <v>0</v>
      </c>
      <c r="H54" s="375">
        <f>-('8'!H25+'8'!H35)</f>
        <v>0</v>
      </c>
    </row>
    <row r="55" spans="1:10" x14ac:dyDescent="0.3">
      <c r="A55" s="11"/>
      <c r="B55" s="203" t="s">
        <v>496</v>
      </c>
      <c r="C55" s="18" t="s">
        <v>208</v>
      </c>
      <c r="D55" s="375">
        <f>-'8'!D32</f>
        <v>0</v>
      </c>
      <c r="E55" s="375">
        <f>-'8'!E32</f>
        <v>0</v>
      </c>
      <c r="F55" s="375">
        <f>-'8'!F32</f>
        <v>0</v>
      </c>
      <c r="G55" s="375">
        <f>-'8'!G32</f>
        <v>0</v>
      </c>
      <c r="H55" s="375">
        <f>-'8'!H32</f>
        <v>0</v>
      </c>
    </row>
    <row r="56" spans="1:10" x14ac:dyDescent="0.3">
      <c r="A56" s="11"/>
      <c r="B56" s="203" t="s">
        <v>497</v>
      </c>
      <c r="C56" s="18" t="s">
        <v>209</v>
      </c>
      <c r="D56" s="343"/>
      <c r="E56" s="92"/>
      <c r="F56" s="92"/>
      <c r="G56" s="92"/>
      <c r="H56" s="92"/>
    </row>
    <row r="57" spans="1:10" x14ac:dyDescent="0.3">
      <c r="A57" s="11"/>
      <c r="B57" s="203" t="s">
        <v>498</v>
      </c>
      <c r="C57" s="18" t="s">
        <v>210</v>
      </c>
      <c r="D57" s="331"/>
      <c r="E57" s="92"/>
      <c r="F57" s="92"/>
      <c r="G57" s="92"/>
      <c r="H57" s="92"/>
    </row>
    <row r="58" spans="1:10" x14ac:dyDescent="0.3">
      <c r="A58" s="11"/>
      <c r="B58" s="203" t="s">
        <v>487</v>
      </c>
      <c r="C58" s="18" t="s">
        <v>211</v>
      </c>
      <c r="D58" s="343"/>
      <c r="E58" s="375">
        <f>SUMIFS('5'!$F:$F,'5'!$B:$B,"Paramos išmokėjimas*",'5'!$C:$C,"&gt;="&amp;DATE('9.3'!E6,1,1),'5'!$C:$C,"&lt;="&amp;DATE('9.3'!E6,12,31))+SUMIFS('5'!$C$14,'9.3'!E$6,YEAR('5'!$C$15))</f>
        <v>0</v>
      </c>
      <c r="F58" s="375">
        <f>SUMIFS('5'!$F:$F,'5'!$B:$B,"Paramos išmokėjimas*",'5'!$C:$C,"&gt;="&amp;DATE('9.3'!F6,1,1),'5'!$C:$C,"&lt;="&amp;DATE('9.3'!F6,12,31))+SUMIFS('5'!$C$14,'9.3'!F$6,YEAR('5'!$C$15))</f>
        <v>0</v>
      </c>
      <c r="G58" s="375">
        <f>SUMIFS('5'!$F:$F,'5'!$B:$B,"Paramos išmokėjimas*",'5'!$C:$C,"&gt;="&amp;DATE('9.3'!G6,1,1),'5'!$C:$C,"&lt;="&amp;DATE('9.3'!G6,12,31))+SUMIFS('5'!$C$14,'9.3'!G$6,YEAR('5'!$C$15))</f>
        <v>0</v>
      </c>
      <c r="H58" s="375">
        <f>SUMIFS('5'!$F:$F,'5'!$B:$B,"Paramos išmokėjimas*",'5'!$C:$C,"&gt;="&amp;DATE('9.3'!H6,1,1),'5'!$C:$C,"&lt;="&amp;DATE('9.3'!H6,12,31))+SUMIFS('5'!$C$14,'9.3'!H$6,YEAR('5'!$C$15))</f>
        <v>0</v>
      </c>
      <c r="I58" s="43"/>
      <c r="J58" s="302" t="s">
        <v>974</v>
      </c>
    </row>
    <row r="59" spans="1:10" ht="24" x14ac:dyDescent="0.3">
      <c r="A59" s="11"/>
      <c r="B59" s="203" t="s">
        <v>486</v>
      </c>
      <c r="C59" s="18" t="s">
        <v>212</v>
      </c>
      <c r="D59" s="331"/>
      <c r="E59" s="92"/>
      <c r="F59" s="92"/>
      <c r="G59" s="92"/>
      <c r="H59" s="92"/>
      <c r="J59" s="302" t="s">
        <v>552</v>
      </c>
    </row>
    <row r="60" spans="1:10" x14ac:dyDescent="0.3">
      <c r="A60" s="11"/>
      <c r="B60" s="209" t="s">
        <v>578</v>
      </c>
      <c r="C60" s="138" t="s">
        <v>213</v>
      </c>
      <c r="D60" s="210">
        <f>SUM(D42,D47)</f>
        <v>0</v>
      </c>
      <c r="E60" s="210">
        <f t="shared" ref="E60:H60" si="6">SUM(E42,E47)</f>
        <v>0</v>
      </c>
      <c r="F60" s="210">
        <f t="shared" si="6"/>
        <v>0</v>
      </c>
      <c r="G60" s="210">
        <f t="shared" si="6"/>
        <v>0</v>
      </c>
      <c r="H60" s="210">
        <f t="shared" si="6"/>
        <v>0</v>
      </c>
    </row>
    <row r="61" spans="1:10" ht="24" x14ac:dyDescent="0.3">
      <c r="A61" s="11"/>
      <c r="B61" s="203" t="s">
        <v>482</v>
      </c>
      <c r="C61" s="18" t="s">
        <v>214</v>
      </c>
      <c r="D61" s="343"/>
      <c r="E61" s="92"/>
      <c r="F61" s="92"/>
      <c r="G61" s="92"/>
      <c r="H61" s="92"/>
      <c r="J61" s="302" t="s">
        <v>552</v>
      </c>
    </row>
    <row r="62" spans="1:10" ht="24" x14ac:dyDescent="0.3">
      <c r="A62" s="11"/>
      <c r="B62" s="205" t="s">
        <v>483</v>
      </c>
      <c r="C62" s="175" t="s">
        <v>215</v>
      </c>
      <c r="D62" s="185">
        <f t="shared" ref="D62:H62" si="7">SUM(D29,D40,D60,D61)</f>
        <v>0</v>
      </c>
      <c r="E62" s="185">
        <f t="shared" si="7"/>
        <v>0</v>
      </c>
      <c r="F62" s="185">
        <f t="shared" si="7"/>
        <v>0</v>
      </c>
      <c r="G62" s="185">
        <f t="shared" si="7"/>
        <v>0</v>
      </c>
      <c r="H62" s="185">
        <f t="shared" si="7"/>
        <v>0</v>
      </c>
    </row>
    <row r="63" spans="1:10" x14ac:dyDescent="0.3">
      <c r="A63" s="11"/>
      <c r="B63" s="205" t="s">
        <v>484</v>
      </c>
      <c r="C63" s="175" t="s">
        <v>216</v>
      </c>
      <c r="D63" s="343"/>
      <c r="E63" s="185">
        <f>+D64</f>
        <v>0</v>
      </c>
      <c r="F63" s="185">
        <f t="shared" ref="F63:H63" si="8">E64</f>
        <v>0</v>
      </c>
      <c r="G63" s="185">
        <f t="shared" si="8"/>
        <v>0</v>
      </c>
      <c r="H63" s="185">
        <f t="shared" si="8"/>
        <v>0</v>
      </c>
    </row>
    <row r="64" spans="1:10" ht="22.8" x14ac:dyDescent="0.3">
      <c r="A64" s="11"/>
      <c r="B64" s="209" t="s">
        <v>485</v>
      </c>
      <c r="C64" s="138" t="s">
        <v>217</v>
      </c>
      <c r="D64" s="210">
        <f>D62+D63</f>
        <v>0</v>
      </c>
      <c r="E64" s="210">
        <f t="shared" ref="E64:H64" si="9">+E63+E62</f>
        <v>0</v>
      </c>
      <c r="F64" s="210">
        <f t="shared" si="9"/>
        <v>0</v>
      </c>
      <c r="G64" s="210">
        <f t="shared" si="9"/>
        <v>0</v>
      </c>
      <c r="H64" s="210">
        <f t="shared" si="9"/>
        <v>0</v>
      </c>
      <c r="I64" s="43"/>
      <c r="J64" s="276" t="str">
        <f>IF(COUNTIFS(D64:H64,"&lt;0")&gt;0,"Klaida! Pinigų likutis negali būti neigiamas!","ok")</f>
        <v>ok</v>
      </c>
    </row>
    <row r="65" spans="10:10" x14ac:dyDescent="0.3">
      <c r="J65" s="276" t="str">
        <f>IF(ABS(D64-'9.1'!D32)&gt;1,"Klaida! Ataskaitiniais metais pinigų likutis balanse ir pinigų srautų ataskaitoje nesutampa","ok")</f>
        <v>ok</v>
      </c>
    </row>
  </sheetData>
  <sheetProtection algorithmName="SHA-512" hashValue="vs7O2uBMMJvkok9udvajR5xHG7OBNMEPd7e5P8A04Dn7yDDaWscAXvcWX1XINU9f2e2qL6TOtip4JsO3tAzcPQ==" saltValue="de1Ef338/mKV1sLyakVb1Q==" spinCount="100000" sheet="1" objects="1" scenarios="1" formatRows="0"/>
  <mergeCells count="3">
    <mergeCell ref="B5:B6"/>
    <mergeCell ref="C5:C6"/>
    <mergeCell ref="E5:H5"/>
  </mergeCells>
  <conditionalFormatting sqref="D57">
    <cfRule type="expression" dxfId="16" priority="25">
      <formula>ABS(D$13)&gt;D$12</formula>
    </cfRule>
  </conditionalFormatting>
  <conditionalFormatting sqref="D59">
    <cfRule type="expression" dxfId="15" priority="24">
      <formula>ABS(D$13)&gt;D$12</formula>
    </cfRule>
  </conditionalFormatting>
  <conditionalFormatting sqref="D45:G46">
    <cfRule type="expression" dxfId="14" priority="6">
      <formula>ABS(D$13)&gt;D$12</formula>
    </cfRule>
  </conditionalFormatting>
  <conditionalFormatting sqref="D2:H2">
    <cfRule type="cellIs" dxfId="13" priority="16" operator="between">
      <formula>0.0001</formula>
      <formula>3</formula>
    </cfRule>
    <cfRule type="cellIs" dxfId="12" priority="17" operator="between">
      <formula>-3</formula>
      <formula>-0.0001</formula>
    </cfRule>
    <cfRule type="cellIs" dxfId="11" priority="18" operator="lessThan">
      <formula>-3</formula>
    </cfRule>
    <cfRule type="cellIs" dxfId="10" priority="19" operator="greaterThan">
      <formula>3</formula>
    </cfRule>
  </conditionalFormatting>
  <conditionalFormatting sqref="D6:H6">
    <cfRule type="expression" dxfId="9" priority="1">
      <formula>D6="-"</formula>
    </cfRule>
  </conditionalFormatting>
  <conditionalFormatting sqref="D33:H33 D35:H35 D38:D39">
    <cfRule type="expression" dxfId="8" priority="5">
      <formula>ABS(D$13)&gt;D$12</formula>
    </cfRule>
  </conditionalFormatting>
  <conditionalFormatting sqref="D64:H64">
    <cfRule type="expression" dxfId="7" priority="15">
      <formula>D$64&lt;0</formula>
    </cfRule>
  </conditionalFormatting>
  <conditionalFormatting sqref="J2">
    <cfRule type="expression" dxfId="6" priority="11">
      <formula>J2&lt;&gt;"ok"</formula>
    </cfRule>
  </conditionalFormatting>
  <conditionalFormatting sqref="J64:J65">
    <cfRule type="expression" dxfId="5" priority="7">
      <formula>ISNUMBER(SEARCH("Klaida", J64))</formula>
    </cfRule>
  </conditionalFormatting>
  <dataValidations count="1">
    <dataValidation type="whole" operator="lessThan" allowBlank="1" showInputMessage="1" showErrorMessage="1" error="įveskskite neigiamą skaičių" prompt="Įveskite neigiamą skaičių" sqref="D33:H33 D59 D45:G46 D57 D35:H35">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D6:H6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5">
    <tabColor theme="8" tint="-0.499984740745262"/>
  </sheetPr>
  <dimension ref="A1:O22"/>
  <sheetViews>
    <sheetView zoomScale="120" zoomScaleNormal="120" workbookViewId="0">
      <pane xSplit="2" ySplit="4" topLeftCell="C5" activePane="bottomRight" state="frozen"/>
      <selection activeCell="B14" sqref="B14:L14"/>
      <selection pane="topRight" activeCell="B14" sqref="B14:L14"/>
      <selection pane="bottomLeft" activeCell="B14" sqref="B14:L14"/>
      <selection pane="bottomRight" activeCell="D5" sqref="D5"/>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x14ac:dyDescent="0.3">
      <c r="A1" s="144" t="s">
        <v>157</v>
      </c>
      <c r="B1" s="534" t="s">
        <v>6</v>
      </c>
      <c r="C1" s="534"/>
      <c r="D1" s="534"/>
      <c r="E1" s="534"/>
      <c r="F1" s="534"/>
      <c r="G1" s="534"/>
      <c r="H1" s="169"/>
      <c r="I1" s="169"/>
      <c r="J1" s="169"/>
      <c r="K1" s="169"/>
      <c r="L1" s="179"/>
      <c r="N1" s="305" t="s">
        <v>293</v>
      </c>
    </row>
    <row r="2" spans="1:15" x14ac:dyDescent="0.3">
      <c r="N2" s="306"/>
    </row>
    <row r="3" spans="1:15" ht="39.6" x14ac:dyDescent="0.3">
      <c r="A3" s="517" t="s">
        <v>22</v>
      </c>
      <c r="B3" s="535" t="s">
        <v>77</v>
      </c>
      <c r="C3" s="189" t="s">
        <v>218</v>
      </c>
      <c r="D3" s="135" t="str">
        <f>IF(AND('1'!$C$22="Verslo pradžia",YEAR('1'!$E$22)=YEAR('1'!$C$11)),"Pradžios metai","Ataskaitiniai metai")</f>
        <v>Ataskaitiniai metai</v>
      </c>
      <c r="E3" s="176" t="s">
        <v>12</v>
      </c>
      <c r="F3" s="410"/>
      <c r="G3" s="410"/>
      <c r="H3" s="410"/>
      <c r="I3" s="410"/>
      <c r="J3" s="410"/>
      <c r="K3" s="4"/>
      <c r="L3" s="306"/>
      <c r="M3" s="3"/>
      <c r="N3" s="3"/>
    </row>
    <row r="4" spans="1:15" ht="15" customHeight="1" thickBot="1" x14ac:dyDescent="0.35">
      <c r="A4" s="518"/>
      <c r="B4" s="536"/>
      <c r="C4" s="136" t="str">
        <f>_xlfn.CONCAT("",YEAR(Parametrai!$C$13)-2)</f>
        <v>2023</v>
      </c>
      <c r="D4" s="358">
        <f>IF(D3="Pradžios metai",YEAR('1'!$E$22),IF((YEAR('1'!$C$11)-1)+COUNT($C4:C4)&gt;YEAR('1'!$C$18)+Parametrai!$C$15,"-",(YEAR('1'!$C$11)-1)+COUNT($C4:C4)))</f>
        <v>1899</v>
      </c>
      <c r="E4" s="358">
        <f>IF(E3="Pradžios metai",YEAR('1'!$E$22),IF((YEAR('1'!$C$11)-1)+COUNT($C4:D4)&gt;YEAR('1'!$C$18)+Parametrai!$C$15,"-",(YEAR('1'!$C$11)-1)+COUNT($C4:D4)))</f>
        <v>1900</v>
      </c>
      <c r="F4" s="358">
        <f>IF(F3="Pradžios metai",YEAR('1'!$E$22),IF((YEAR('1'!$C$11)-1)+COUNT($C4:E4)&gt;YEAR('1'!$C$18)+Parametrai!$C$15,"-",(YEAR('1'!$C$11)-1)+COUNT($C4:E4)))</f>
        <v>1901</v>
      </c>
      <c r="G4" s="358">
        <f>IF(G3="Pradžios metai",YEAR('1'!$E$22),IF((YEAR('1'!$C$11)-1)+COUNT($C4:F4)&gt;YEAR('1'!$C$18)+Parametrai!$C$15,"-",(YEAR('1'!$C$11)-1)+COUNT($C4:F4)))</f>
        <v>1902</v>
      </c>
      <c r="H4" s="358">
        <f>IF(H3="Pradžios metai",YEAR('1'!$E$22),IF((YEAR('1'!$C$11)-1)+COUNT($C4:G4)&gt;YEAR('1'!$C$18)+Parametrai!$C$15,"-",(YEAR('1'!$C$11)-1)+COUNT($C4:G4)))</f>
        <v>1903</v>
      </c>
      <c r="I4" s="358" t="str">
        <f>IF(I3="Pradžios metai",YEAR('1'!$E$22),IF((YEAR('1'!$C$11)-1)+COUNT($C4:H4)&gt;YEAR('1'!$C$18)+Parametrai!$C$15,"-",(YEAR('1'!$C$11)-1)+COUNT($C4:H4)))</f>
        <v>-</v>
      </c>
      <c r="J4" s="358" t="str">
        <f>IF(J3="Pradžios metai",YEAR('1'!$E$22),IF((YEAR('1'!$C$11)-1)+COUNT($C4:I4)&gt;YEAR('1'!$C$18)+Parametrai!$C$15,"-",(YEAR('1'!$C$11)-1)+COUNT($C4:I4)))</f>
        <v>-</v>
      </c>
      <c r="K4" s="4"/>
      <c r="L4" s="306"/>
      <c r="M4" s="530" t="s">
        <v>242</v>
      </c>
      <c r="N4" s="530"/>
    </row>
    <row r="5" spans="1:15" ht="14.4" thickTop="1" x14ac:dyDescent="0.3">
      <c r="A5" s="262" t="s">
        <v>425</v>
      </c>
      <c r="B5" s="190" t="s">
        <v>219</v>
      </c>
      <c r="C5" s="352"/>
      <c r="D5" s="382" t="str">
        <f>IFERROR((SUM('9.3'!D29,'9.3'!D58)/-SUM('9.3'!D52,'9.3'!D55,'9.3'!D54)),"-")</f>
        <v>-</v>
      </c>
      <c r="E5" s="382" t="str">
        <f>IFERROR((SUM('9.3'!E29,'9.3'!E58)/-SUM('9.3'!E52,'9.3'!E55,'9.3'!E54)),"-")</f>
        <v>-</v>
      </c>
      <c r="F5" s="382" t="str">
        <f>IFERROR((SUM('9.3'!F29,'9.3'!F58)/-SUM('9.3'!F52,'9.3'!F55,'9.3'!F54)),"-")</f>
        <v>-</v>
      </c>
      <c r="G5" s="382" t="str">
        <f>IFERROR((SUM('9.3'!G29,'9.3'!G58)/-SUM('9.3'!G52,'9.3'!G55,'9.3'!G54)),"-")</f>
        <v>-</v>
      </c>
      <c r="H5" s="382" t="str">
        <f>IFERROR((SUM('9.3'!H29,'9.3'!H58)/-SUM('9.3'!H52,'9.3'!H55,'9.3'!H54)),"-")</f>
        <v>-</v>
      </c>
      <c r="I5" s="382" t="str">
        <f>IFERROR((SUM('9.3'!#REF!,'9.3'!#REF!)/-SUM('9.3'!#REF!,'9.3'!#REF!,'9.3'!#REF!)),"-")</f>
        <v>-</v>
      </c>
      <c r="J5" s="382" t="str">
        <f>IFERROR((SUM('9.3'!#REF!,'9.3'!#REF!)/-SUM('9.3'!#REF!,'9.3'!#REF!,'9.3'!#REF!)),"-")</f>
        <v>-</v>
      </c>
      <c r="K5" s="43"/>
      <c r="L5" s="306"/>
      <c r="M5" s="531">
        <f>Parametrai!C21</f>
        <v>1.25</v>
      </c>
      <c r="N5" s="531"/>
      <c r="O5" s="3" t="s">
        <v>986</v>
      </c>
    </row>
    <row r="6" spans="1:15" x14ac:dyDescent="0.3">
      <c r="A6" s="263" t="s">
        <v>424</v>
      </c>
      <c r="B6" s="191" t="s">
        <v>220</v>
      </c>
      <c r="C6" s="352"/>
      <c r="D6" s="383" t="str">
        <f>IFERROR('9.1'!D50/'9.1'!D34,"-")</f>
        <v>-</v>
      </c>
      <c r="E6" s="383" t="str">
        <f>IFERROR('9.1'!E50/'9.1'!E34,"-")</f>
        <v>-</v>
      </c>
      <c r="F6" s="383" t="str">
        <f>IFERROR('9.1'!F50/'9.1'!F34,"-")</f>
        <v>-</v>
      </c>
      <c r="G6" s="383" t="str">
        <f>IFERROR('9.1'!G50/'9.1'!G34,"-")</f>
        <v>-</v>
      </c>
      <c r="H6" s="383" t="str">
        <f>IFERROR('9.1'!H50/'9.1'!H34,"-")</f>
        <v>-</v>
      </c>
      <c r="I6" s="383" t="str">
        <f>IFERROR('9.1'!#REF!/'9.1'!#REF!,"-")</f>
        <v>-</v>
      </c>
      <c r="J6" s="383" t="str">
        <f>IFERROR('9.1'!#REF!/'9.1'!#REF!,"-")</f>
        <v>-</v>
      </c>
      <c r="K6" s="43"/>
      <c r="L6" s="306"/>
      <c r="M6" s="531">
        <f>Parametrai!C22</f>
        <v>0.65</v>
      </c>
      <c r="N6" s="531"/>
      <c r="O6" s="3" t="s">
        <v>985</v>
      </c>
    </row>
    <row r="7" spans="1:15" x14ac:dyDescent="0.3">
      <c r="A7" s="263" t="s">
        <v>426</v>
      </c>
      <c r="B7" s="191" t="s">
        <v>221</v>
      </c>
      <c r="C7" s="353"/>
      <c r="D7" s="384" t="str">
        <f>IFERROR('9.2'!D24/'9.2'!D7,"-")</f>
        <v>-</v>
      </c>
      <c r="E7" s="384" t="str">
        <f>IFERROR('9.2'!E24/'9.2'!E7,"-")</f>
        <v>-</v>
      </c>
      <c r="F7" s="384" t="str">
        <f>IFERROR('9.2'!F24/'9.2'!F7,"-")</f>
        <v>-</v>
      </c>
      <c r="G7" s="384" t="str">
        <f>IFERROR('9.2'!G24/'9.2'!G7,"-")</f>
        <v>-</v>
      </c>
      <c r="H7" s="384" t="str">
        <f>IFERROR('9.2'!H24/'9.2'!H7,"-")</f>
        <v>-</v>
      </c>
      <c r="I7" s="384" t="str">
        <f>IFERROR('9.2'!#REF!/'9.2'!#REF!,"-")</f>
        <v>-</v>
      </c>
      <c r="J7" s="384" t="str">
        <f>IFERROR('9.2'!#REF!/'9.2'!#REF!,"-")</f>
        <v>-</v>
      </c>
      <c r="K7" s="43"/>
      <c r="L7" s="306"/>
      <c r="M7" s="532">
        <f>Parametrai!C23</f>
        <v>0</v>
      </c>
      <c r="N7" s="532"/>
      <c r="O7" s="3" t="s">
        <v>984</v>
      </c>
    </row>
    <row r="8" spans="1:15" ht="26.4" x14ac:dyDescent="0.3">
      <c r="A8" s="263" t="s">
        <v>427</v>
      </c>
      <c r="B8" s="191" t="s">
        <v>237</v>
      </c>
      <c r="C8" s="352"/>
      <c r="D8" s="382" t="str">
        <f>IFERROR('9.1'!D20/'9.1'!D57,"-")</f>
        <v>-</v>
      </c>
      <c r="E8" s="382" t="str">
        <f>IFERROR('9.1'!E20/'9.1'!E57,"-")</f>
        <v>-</v>
      </c>
      <c r="F8" s="382" t="str">
        <f>IFERROR('9.1'!F20/'9.1'!F57,"-")</f>
        <v>-</v>
      </c>
      <c r="G8" s="382" t="str">
        <f>IFERROR('9.1'!G20/'9.1'!G57,"-")</f>
        <v>-</v>
      </c>
      <c r="H8" s="382" t="str">
        <f>IFERROR('9.1'!H20/'9.1'!H57,"-")</f>
        <v>-</v>
      </c>
      <c r="I8" s="382" t="str">
        <f>IFERROR('9.1'!#REF!/'9.1'!#REF!,"-")</f>
        <v>-</v>
      </c>
      <c r="J8" s="382" t="str">
        <f>IFERROR('9.1'!#REF!/'9.1'!#REF!,"-")</f>
        <v>-</v>
      </c>
      <c r="K8" s="4"/>
      <c r="L8" s="306"/>
      <c r="M8" s="531">
        <f>Parametrai!C24</f>
        <v>1</v>
      </c>
      <c r="N8" s="531"/>
      <c r="O8" s="3" t="s">
        <v>983</v>
      </c>
    </row>
    <row r="9" spans="1:15" x14ac:dyDescent="0.3">
      <c r="N9" s="306"/>
    </row>
    <row r="10" spans="1:15" x14ac:dyDescent="0.3">
      <c r="N10" s="306"/>
    </row>
    <row r="11" spans="1:15" ht="24" customHeight="1" x14ac:dyDescent="0.3">
      <c r="B11" s="533" t="s">
        <v>686</v>
      </c>
      <c r="C11" s="533"/>
      <c r="D11" s="533"/>
      <c r="E11" s="533"/>
      <c r="F11" s="533"/>
      <c r="G11" s="533"/>
      <c r="H11" s="533"/>
      <c r="I11" s="533"/>
      <c r="J11" s="533"/>
      <c r="K11" s="533"/>
      <c r="L11" s="533"/>
      <c r="N11" s="306"/>
    </row>
    <row r="12" spans="1:15" ht="137.69999999999999" customHeight="1" x14ac:dyDescent="0.3">
      <c r="B12" s="529" t="s">
        <v>682</v>
      </c>
      <c r="C12" s="529"/>
      <c r="D12" s="529"/>
      <c r="E12" s="529"/>
      <c r="F12" s="529"/>
      <c r="G12" s="529"/>
      <c r="H12" s="529"/>
      <c r="I12" s="529"/>
      <c r="J12" s="529"/>
      <c r="K12" s="529"/>
      <c r="L12" s="529"/>
      <c r="N12" s="306"/>
    </row>
    <row r="13" spans="1:15" ht="50.7" customHeight="1" x14ac:dyDescent="0.3">
      <c r="B13" s="529" t="s">
        <v>683</v>
      </c>
      <c r="C13" s="529"/>
      <c r="D13" s="529"/>
      <c r="E13" s="529"/>
      <c r="F13" s="529"/>
      <c r="G13" s="529"/>
      <c r="H13" s="529"/>
      <c r="I13" s="529"/>
      <c r="J13" s="529"/>
      <c r="K13" s="529"/>
      <c r="L13" s="529"/>
      <c r="N13" s="306"/>
    </row>
    <row r="14" spans="1:15" ht="76.349999999999994" customHeight="1" x14ac:dyDescent="0.3">
      <c r="B14" s="529" t="s">
        <v>684</v>
      </c>
      <c r="C14" s="529"/>
      <c r="D14" s="529"/>
      <c r="E14" s="529"/>
      <c r="F14" s="529"/>
      <c r="G14" s="529"/>
      <c r="H14" s="529"/>
      <c r="I14" s="529"/>
      <c r="J14" s="529"/>
      <c r="K14" s="529"/>
      <c r="L14" s="529"/>
      <c r="N14" s="306"/>
    </row>
    <row r="15" spans="1:15" ht="76.349999999999994" customHeight="1" x14ac:dyDescent="0.3">
      <c r="B15" s="529" t="s">
        <v>977</v>
      </c>
      <c r="C15" s="529"/>
      <c r="D15" s="529"/>
      <c r="E15" s="529"/>
      <c r="F15" s="529"/>
      <c r="G15" s="529"/>
      <c r="H15" s="529"/>
      <c r="I15" s="529"/>
      <c r="J15" s="529"/>
      <c r="K15" s="529"/>
      <c r="L15" s="529"/>
      <c r="N15" s="306"/>
    </row>
    <row r="16" spans="1:15" ht="53.7" customHeight="1" x14ac:dyDescent="0.3">
      <c r="B16" s="529" t="s">
        <v>685</v>
      </c>
      <c r="C16" s="529"/>
      <c r="D16" s="529"/>
      <c r="E16" s="529"/>
      <c r="F16" s="529"/>
      <c r="G16" s="529"/>
      <c r="H16" s="529"/>
      <c r="I16" s="529"/>
      <c r="J16" s="529"/>
      <c r="K16" s="529"/>
      <c r="L16" s="529"/>
      <c r="N16" s="306"/>
    </row>
    <row r="17" spans="2:2" x14ac:dyDescent="0.3">
      <c r="B17" s="4"/>
    </row>
    <row r="18" spans="2:2" x14ac:dyDescent="0.3">
      <c r="B18" s="4"/>
    </row>
    <row r="20" spans="2:2" x14ac:dyDescent="0.3">
      <c r="B20" s="4"/>
    </row>
    <row r="21" spans="2:2" x14ac:dyDescent="0.3">
      <c r="B21" s="4"/>
    </row>
    <row r="22" spans="2:2" x14ac:dyDescent="0.3">
      <c r="B22" s="4"/>
    </row>
  </sheetData>
  <sheetProtection algorithmName="SHA-512" hashValue="eChmJ+byMnCLiYMxms/QwH2WRbNUZb0Ykr2KBVXTK7lrbdIAY0HfLon0Xwd96ykCAIAcQJW/MagS0HiWc/5rXg==" saltValue="/hIxcOWJtQIDLQ392f4zpA==" spinCount="100000" sheet="1" objects="1" scenarios="1" formatRows="0"/>
  <mergeCells count="14">
    <mergeCell ref="B14:L14"/>
    <mergeCell ref="B15:L15"/>
    <mergeCell ref="B16:L16"/>
    <mergeCell ref="B11:L11"/>
    <mergeCell ref="B1:G1"/>
    <mergeCell ref="B3:B4"/>
    <mergeCell ref="A3:A4"/>
    <mergeCell ref="B12:L12"/>
    <mergeCell ref="B13:L13"/>
    <mergeCell ref="M4:N4"/>
    <mergeCell ref="M5:N5"/>
    <mergeCell ref="M6:N6"/>
    <mergeCell ref="M7:N7"/>
    <mergeCell ref="M8:N8"/>
  </mergeCells>
  <conditionalFormatting sqref="D4:J4">
    <cfRule type="expression" dxfId="3"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C5:J5 C7:J8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C6:J6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D4:J4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9c60118-e424-4716-b915-e6eeaaa56a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60A370FD3C854492F056983C98F7C8" ma:contentTypeVersion="11" ma:contentTypeDescription="Create a new document." ma:contentTypeScope="" ma:versionID="29c77a293eccc6520abd328c91da1b86">
  <xsd:schema xmlns:xsd="http://www.w3.org/2001/XMLSchema" xmlns:xs="http://www.w3.org/2001/XMLSchema" xmlns:p="http://schemas.microsoft.com/office/2006/metadata/properties" xmlns:ns3="e9c60118-e424-4716-b915-e6eeaaa56a10" targetNamespace="http://schemas.microsoft.com/office/2006/metadata/properties" ma:root="true" ma:fieldsID="e0cfe1c334bf544fe5223c9d9fd974a1" ns3:_="">
    <xsd:import namespace="e9c60118-e424-4716-b915-e6eeaaa56a10"/>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60118-e424-4716-b915-e6eeaaa56a10"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D404DE90-CA94-4EFB-AFDB-61DC99654621}">
  <ds:schemaRefs>
    <ds:schemaRef ds:uri="http://purl.org/dc/elements/1.1/"/>
    <ds:schemaRef ds:uri="http://purl.org/dc/dcmitype/"/>
    <ds:schemaRef ds:uri="e9c60118-e424-4716-b915-e6eeaaa56a10"/>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2AEBE1C7-68DB-4AB3-ADB2-CF7F09FF5CE5}">
  <ds:schemaRefs>
    <ds:schemaRef ds:uri="http://schemas.microsoft.com/sharepoint/v3/contenttype/forms"/>
  </ds:schemaRefs>
</ds:datastoreItem>
</file>

<file path=customXml/itemProps3.xml><?xml version="1.0" encoding="utf-8"?>
<ds:datastoreItem xmlns:ds="http://schemas.openxmlformats.org/officeDocument/2006/customXml" ds:itemID="{AFD9BE9D-3E8C-4917-9208-D74E8495D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60118-e424-4716-b915-e6eeaaa56a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Meniu_ParamosIšmokėjimoBūdai</vt:lpstr>
      <vt:lpstr>Meniu_TaipNe</vt:lpstr>
      <vt:lpstr>'1'!Print_Area</vt:lpstr>
      <vt:lpstr>'10'!Print_Area</vt:lpstr>
      <vt:lpstr>'2-3'!Print_Area</vt:lpstr>
      <vt:lpstr>'4'!Print_Area</vt:lpstr>
      <vt:lpstr>'5'!Print_Area</vt:lpstr>
      <vt:lpstr>'6'!Print_Area</vt:lpstr>
      <vt:lpstr>'7'!Print_Area</vt:lpstr>
      <vt:lpstr>'8'!Print_Area</vt:lpstr>
      <vt:lpstr>'9.1'!Print_Area</vt:lpstr>
      <vt:lpstr>'9.2'!Print_Area</vt:lpstr>
      <vt:lpstr>'9.3'!Print_Area</vt:lpstr>
    </vt:vector>
  </TitlesOfParts>
  <Company>Nacionaline mokejimo agentura prie ZUM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Asta</cp:lastModifiedBy>
  <cp:lastPrinted>2024-03-13T08:19:54Z</cp:lastPrinted>
  <dcterms:created xsi:type="dcterms:W3CDTF">2023-12-06T11:26:15Z</dcterms:created>
  <dcterms:modified xsi:type="dcterms:W3CDTF">2025-07-11T11:55:47Z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0x0101001A60A370FD3C854492F056983C98F7C8</vt:lpwstr>
  </property>
</Properties>
</file>